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355" windowHeight="8445" activeTab="0"/>
  </bookViews>
  <sheets>
    <sheet name="Draft 10" sheetId="1" r:id="rId1"/>
  </sheets>
  <definedNames>
    <definedName name="Blade">'Draft 10'!$CH$8:$CH$10</definedName>
    <definedName name="BladeType">'Draft 10'!$CH$8:$CI$11</definedName>
    <definedName name="BoatType">'Draft 10'!$CE$8:$CE$15</definedName>
    <definedName name="Boatweightclass">'Draft 10'!$CM$8:$CM$54</definedName>
    <definedName name="Chart">'Draft 10'!$BM$8:$CB$48</definedName>
    <definedName name="flexibility">'Draft 10'!$CO$38:$CO$40</definedName>
    <definedName name="Height">'Draft 10'!$BM$8:$BM$48</definedName>
    <definedName name="minutes">'Draft 10'!$CK$8:$CK$13</definedName>
    <definedName name="Oarlock">'Draft 10'!$CJ$8:$CJ$48</definedName>
    <definedName name="Overlap">#REF!</definedName>
    <definedName name="Overlapwidth">#REF!</definedName>
    <definedName name="_xlnm.Print_Area" localSheetId="0">'Draft 10'!$A$1:$BK$39</definedName>
    <definedName name="Seat">'Draft 10'!#REF!</definedName>
    <definedName name="seconds">'Draft 10'!$CL$8:$CL$67</definedName>
    <definedName name="Size">'Draft 10'!$CO$9:$CO$11</definedName>
    <definedName name="Weight">'Draft 10'!$CG$8:$CG$58</definedName>
  </definedNames>
  <calcPr fullCalcOnLoad="1"/>
</workbook>
</file>

<file path=xl/comments1.xml><?xml version="1.0" encoding="utf-8"?>
<comments xmlns="http://schemas.openxmlformats.org/spreadsheetml/2006/main">
  <authors>
    <author>steven sullivan</author>
  </authors>
  <commentList>
    <comment ref="CU19" authorId="0">
      <text>
        <r>
          <rPr>
            <b/>
            <sz val="8"/>
            <rFont val="Tahoma"/>
            <family val="0"/>
          </rPr>
          <t>ratio of boat speeds</t>
        </r>
      </text>
    </comment>
    <comment ref="AY6" authorId="0">
      <text>
        <r>
          <rPr>
            <b/>
            <sz val="8"/>
            <rFont val="Tahoma"/>
            <family val="0"/>
          </rPr>
          <t>Work Thru is the distance from the face of the oarlock to the stern end of the usable slide.</t>
        </r>
      </text>
    </comment>
    <comment ref="E6" authorId="0">
      <text>
        <r>
          <rPr>
            <b/>
            <sz val="8"/>
            <rFont val="Tahoma"/>
            <family val="0"/>
          </rPr>
          <t>Skill Level
Adjust to the level that you think the crew members are:
E = expert
A = average
N = novice</t>
        </r>
        <r>
          <rPr>
            <sz val="8"/>
            <rFont val="Tahoma"/>
            <family val="0"/>
          </rPr>
          <t xml:space="preserve">
</t>
        </r>
      </text>
    </comment>
    <comment ref="I6" authorId="0">
      <text>
        <r>
          <rPr>
            <b/>
            <sz val="8"/>
            <rFont val="Tahoma"/>
            <family val="0"/>
          </rPr>
          <t>Prop. Torso Height
Some youngsters have long limbs. If so state that the crew member has a small torso.</t>
        </r>
      </text>
    </comment>
    <comment ref="K6" authorId="0">
      <text>
        <r>
          <rPr>
            <b/>
            <sz val="8"/>
            <rFont val="Tahoma"/>
            <family val="0"/>
          </rPr>
          <t>Prop. Leg Size
Adjust this to large if the crew member scrapes their bade along their thighs.</t>
        </r>
      </text>
    </comment>
    <comment ref="O6" authorId="0">
      <text>
        <r>
          <rPr>
            <b/>
            <sz val="8"/>
            <rFont val="Tahoma"/>
            <family val="0"/>
          </rPr>
          <t>Mass
Mass of the individual crew members.</t>
        </r>
      </text>
    </comment>
    <comment ref="U6" authorId="0">
      <text>
        <r>
          <rPr>
            <b/>
            <sz val="8"/>
            <rFont val="Tahoma"/>
            <family val="0"/>
          </rPr>
          <t>Upper Boat Mass
Insert the upper value for the ideal crew member's mass in the boat that you are using.
This will allow changes in oarlock height when in a boat that is not the ideal weight.
Be aware that older boats may sit lower in the water so you may have to alter the oarlock heights.</t>
        </r>
      </text>
    </comment>
    <comment ref="Y6" authorId="0">
      <text>
        <r>
          <rPr>
            <b/>
            <sz val="8"/>
            <rFont val="Tahoma"/>
            <family val="0"/>
          </rPr>
          <t xml:space="preserve">Prevailing Conditions
Combination of stream and wind. Follow if boat will move faster, Head if the boat will move slower.
</t>
        </r>
      </text>
    </comment>
    <comment ref="AE6" authorId="0">
      <text>
        <r>
          <rPr>
            <b/>
            <sz val="8"/>
            <rFont val="Tahoma"/>
            <family val="0"/>
          </rPr>
          <t>Oarlock width
Measure the width of the oarlock.
Default value = 3.7cm.</t>
        </r>
      </text>
    </comment>
    <comment ref="AS33" authorId="0">
      <text>
        <r>
          <rPr>
            <b/>
            <sz val="8"/>
            <rFont val="Tahoma"/>
            <family val="0"/>
          </rPr>
          <t>Default value = 492s</t>
        </r>
      </text>
    </comment>
    <comment ref="AS34" authorId="0">
      <text>
        <r>
          <rPr>
            <b/>
            <sz val="8"/>
            <rFont val="Tahoma"/>
            <family val="0"/>
          </rPr>
          <t>Default value = 3s</t>
        </r>
      </text>
    </comment>
    <comment ref="AS35" authorId="0">
      <text>
        <r>
          <rPr>
            <b/>
            <sz val="8"/>
            <rFont val="Tahoma"/>
            <family val="0"/>
          </rPr>
          <t>Default value = 1cm</t>
        </r>
      </text>
    </comment>
    <comment ref="AS36" authorId="0">
      <text>
        <r>
          <rPr>
            <b/>
            <sz val="8"/>
            <rFont val="Tahoma"/>
            <family val="0"/>
          </rPr>
          <t>Default setting = 0.5cm</t>
        </r>
      </text>
    </comment>
    <comment ref="BA6" authorId="0">
      <text>
        <r>
          <rPr>
            <b/>
            <sz val="8"/>
            <rFont val="Tahoma"/>
            <family val="0"/>
          </rPr>
          <t>Stern Pitch
Measured at mid drive</t>
        </r>
      </text>
    </comment>
    <comment ref="BC6" authorId="0">
      <text>
        <r>
          <rPr>
            <b/>
            <sz val="8"/>
            <rFont val="Tahoma"/>
            <family val="0"/>
          </rPr>
          <t>Lateral Pitch
Measured at mid drive</t>
        </r>
      </text>
    </comment>
    <comment ref="AW6" authorId="0">
      <text>
        <r>
          <rPr>
            <b/>
            <sz val="8"/>
            <rFont val="Tahoma"/>
            <family val="0"/>
          </rPr>
          <t xml:space="preserve">Foot stretcher Height
Measured from the lowest part of the feat to the lowest part of the seat.
</t>
        </r>
      </text>
    </comment>
    <comment ref="AK6" authorId="0">
      <text>
        <r>
          <rPr>
            <b/>
            <sz val="8"/>
            <rFont val="Tahoma"/>
            <family val="0"/>
          </rPr>
          <t>Oarlock Height
Measured from the mid point of the oarlock to the lowest point of the upward facing seat.</t>
        </r>
      </text>
    </comment>
    <comment ref="AG6" authorId="0">
      <text>
        <r>
          <rPr>
            <b/>
            <sz val="8"/>
            <rFont val="Tahoma"/>
            <family val="0"/>
          </rPr>
          <t>Lower Boat Span/Spread
This is the lower span or spread that is allowed by the design of the boat.
Leave as 80.0 if not a limiting factor.</t>
        </r>
      </text>
    </comment>
    <comment ref="AI6" authorId="0">
      <text>
        <r>
          <rPr>
            <b/>
            <sz val="8"/>
            <rFont val="Tahoma"/>
            <family val="0"/>
          </rPr>
          <t>Lower Boat Span/Spread
This is the upper span or spread that is allowed by the design of the boat.
Leave as 163.0 if not a limiting factor.</t>
        </r>
      </text>
    </comment>
    <comment ref="AS37" authorId="0">
      <text>
        <r>
          <rPr>
            <b/>
            <sz val="8"/>
            <rFont val="Tahoma"/>
            <family val="0"/>
          </rPr>
          <t>Default setting = 3cm</t>
        </r>
      </text>
    </comment>
  </commentList>
</comments>
</file>

<file path=xl/sharedStrings.xml><?xml version="1.0" encoding="utf-8"?>
<sst xmlns="http://schemas.openxmlformats.org/spreadsheetml/2006/main" count="293" uniqueCount="139">
  <si>
    <t>Big Blade</t>
  </si>
  <si>
    <t>Macon</t>
  </si>
  <si>
    <t>Height</t>
  </si>
  <si>
    <t>8+</t>
  </si>
  <si>
    <t>span</t>
  </si>
  <si>
    <t>O/A</t>
  </si>
  <si>
    <t>1x</t>
  </si>
  <si>
    <t>Blade Type</t>
  </si>
  <si>
    <t>Boat Type</t>
  </si>
  <si>
    <t>4+</t>
  </si>
  <si>
    <t>2-</t>
  </si>
  <si>
    <t>2x</t>
  </si>
  <si>
    <t>4x</t>
  </si>
  <si>
    <t>4x+</t>
  </si>
  <si>
    <t>4-</t>
  </si>
  <si>
    <t>Weight</t>
  </si>
  <si>
    <t>:</t>
  </si>
  <si>
    <t>Seat</t>
  </si>
  <si>
    <t>2km Erg</t>
  </si>
  <si>
    <t>Oarlock width</t>
  </si>
  <si>
    <t>Erg Time</t>
  </si>
  <si>
    <t>Scull over.</t>
  </si>
  <si>
    <t>Sweep over.</t>
  </si>
  <si>
    <t>Spread</t>
  </si>
  <si>
    <t>Small</t>
  </si>
  <si>
    <t>Normal</t>
  </si>
  <si>
    <t>Large</t>
  </si>
  <si>
    <t>Torso</t>
  </si>
  <si>
    <t>Leg</t>
  </si>
  <si>
    <t>Prop. Leg Size</t>
  </si>
  <si>
    <t>Conditions</t>
  </si>
  <si>
    <t>Rough</t>
  </si>
  <si>
    <t>Fine</t>
  </si>
  <si>
    <t xml:space="preserve"> +</t>
  </si>
  <si>
    <t xml:space="preserve"> -</t>
  </si>
  <si>
    <t>Oarlock Measurements</t>
  </si>
  <si>
    <t>scull</t>
  </si>
  <si>
    <t>sweep</t>
  </si>
  <si>
    <t>diff</t>
  </si>
  <si>
    <t>lower</t>
  </si>
  <si>
    <t>upper</t>
  </si>
  <si>
    <t>Prop. Torso Height</t>
  </si>
  <si>
    <t>Height (cm)</t>
  </si>
  <si>
    <t>Mass (kg)</t>
  </si>
  <si>
    <t>Upper Boat Mass (kg)</t>
  </si>
  <si>
    <t>Oarlock Width (cm)</t>
  </si>
  <si>
    <t>Oarlock Height (cm)</t>
  </si>
  <si>
    <t>Measured Overlap (cm)</t>
  </si>
  <si>
    <t>Span / Spread (cm)</t>
  </si>
  <si>
    <t>Oar length (cm)</t>
  </si>
  <si>
    <t>Inboard (cm)</t>
  </si>
  <si>
    <t>Diff in mass</t>
  </si>
  <si>
    <t>Difference in erg time to crew average = change in outboard</t>
  </si>
  <si>
    <t>Outboard change</t>
  </si>
  <si>
    <t>Erg difference</t>
  </si>
  <si>
    <t>Ankle Flexibility</t>
  </si>
  <si>
    <t>Foot Stretcher Angle</t>
  </si>
  <si>
    <t>flexibility</t>
  </si>
  <si>
    <t>Bad</t>
  </si>
  <si>
    <t>Ok</t>
  </si>
  <si>
    <t>Good</t>
  </si>
  <si>
    <t>Work Thru (cm)</t>
  </si>
  <si>
    <t>Work Thru</t>
  </si>
  <si>
    <t>Optimal Erg Score</t>
  </si>
  <si>
    <t>INT</t>
  </si>
  <si>
    <t>E</t>
  </si>
  <si>
    <t>S1</t>
  </si>
  <si>
    <t>S2</t>
  </si>
  <si>
    <t>S3</t>
  </si>
  <si>
    <t>S4/N</t>
  </si>
  <si>
    <t>factor</t>
  </si>
  <si>
    <t>base</t>
  </si>
  <si>
    <t xml:space="preserve">Optimal 2km Water Time </t>
  </si>
  <si>
    <t>Waves</t>
  </si>
  <si>
    <r>
      <t>Average 1</t>
    </r>
    <r>
      <rPr>
        <vertAlign val="superscript"/>
        <sz val="10"/>
        <rFont val="Arial"/>
        <family val="2"/>
      </rPr>
      <t xml:space="preserve">st </t>
    </r>
    <r>
      <rPr>
        <sz val="10"/>
        <rFont val="Arial"/>
        <family val="0"/>
      </rPr>
      <t>2</t>
    </r>
  </si>
  <si>
    <t>Choppy</t>
  </si>
  <si>
    <t>M</t>
  </si>
  <si>
    <t>F</t>
  </si>
  <si>
    <t>variance from optimal</t>
  </si>
  <si>
    <t>Int</t>
  </si>
  <si>
    <t>World Record Boat Times</t>
  </si>
  <si>
    <t>relative to erg</t>
  </si>
  <si>
    <t>Male Senior Status</t>
  </si>
  <si>
    <t>Female Senior Status</t>
  </si>
  <si>
    <t>Race Distance</t>
  </si>
  <si>
    <t>N</t>
  </si>
  <si>
    <t>A</t>
  </si>
  <si>
    <t>Skill Level</t>
  </si>
  <si>
    <t>experience</t>
  </si>
  <si>
    <t>stream</t>
  </si>
  <si>
    <t>distance</t>
  </si>
  <si>
    <t>&lt;2k</t>
  </si>
  <si>
    <t>&gt;2k</t>
  </si>
  <si>
    <t>2k</t>
  </si>
  <si>
    <t>Follow</t>
  </si>
  <si>
    <t>Head</t>
  </si>
  <si>
    <t>None</t>
  </si>
  <si>
    <t>Adequate</t>
  </si>
  <si>
    <t>Experienced</t>
  </si>
  <si>
    <t>Novice</t>
  </si>
  <si>
    <t>erg adjustment to outboard</t>
  </si>
  <si>
    <t>every</t>
  </si>
  <si>
    <t>time</t>
  </si>
  <si>
    <t>outboard</t>
  </si>
  <si>
    <t>expected erg</t>
  </si>
  <si>
    <t>Prevailing Conditions</t>
  </si>
  <si>
    <t>Outboard change for 10s variation from crew average</t>
  </si>
  <si>
    <t>Erg variance from world record by category</t>
  </si>
  <si>
    <t>38 - 40</t>
  </si>
  <si>
    <t>40 - 42</t>
  </si>
  <si>
    <t>42 - 45</t>
  </si>
  <si>
    <t xml:space="preserve">Base 2km erg for male rower of height 155cm </t>
  </si>
  <si>
    <t>Outboard change for 30s variation from norm male height related 2km erg time</t>
  </si>
  <si>
    <t>Female optimal erg score</t>
  </si>
  <si>
    <t>Male optimal erg score</t>
  </si>
  <si>
    <r>
      <t>Average 1</t>
    </r>
    <r>
      <rPr>
        <vertAlign val="superscript"/>
        <sz val="10"/>
        <rFont val="Arial"/>
        <family val="2"/>
      </rPr>
      <t xml:space="preserve">st </t>
    </r>
    <r>
      <rPr>
        <sz val="10"/>
        <rFont val="Arial"/>
        <family val="0"/>
      </rPr>
      <t>8</t>
    </r>
  </si>
  <si>
    <r>
      <t>Average 2</t>
    </r>
    <r>
      <rPr>
        <vertAlign val="superscript"/>
        <sz val="10"/>
        <rFont val="Arial"/>
        <family val="2"/>
      </rPr>
      <t>nd</t>
    </r>
    <r>
      <rPr>
        <sz val="10"/>
        <rFont val="Arial"/>
        <family val="0"/>
      </rPr>
      <t xml:space="preserve"> 2</t>
    </r>
  </si>
  <si>
    <r>
      <t>Average 3</t>
    </r>
    <r>
      <rPr>
        <vertAlign val="superscript"/>
        <sz val="10"/>
        <rFont val="Arial"/>
        <family val="2"/>
      </rPr>
      <t>rd</t>
    </r>
    <r>
      <rPr>
        <sz val="10"/>
        <rFont val="Arial"/>
        <family val="0"/>
      </rPr>
      <t xml:space="preserve"> 2</t>
    </r>
  </si>
  <si>
    <r>
      <t>Average 4</t>
    </r>
    <r>
      <rPr>
        <vertAlign val="superscript"/>
        <sz val="10"/>
        <rFont val="Arial"/>
        <family val="2"/>
      </rPr>
      <t>th</t>
    </r>
    <r>
      <rPr>
        <sz val="10"/>
        <rFont val="Arial"/>
        <family val="0"/>
      </rPr>
      <t xml:space="preserve"> 2</t>
    </r>
  </si>
  <si>
    <r>
      <t>Average 1</t>
    </r>
    <r>
      <rPr>
        <vertAlign val="superscript"/>
        <sz val="10"/>
        <rFont val="Arial"/>
        <family val="2"/>
      </rPr>
      <t xml:space="preserve">st </t>
    </r>
    <r>
      <rPr>
        <sz val="10"/>
        <rFont val="Arial"/>
        <family val="0"/>
      </rPr>
      <t>4</t>
    </r>
  </si>
  <si>
    <r>
      <t>Average 2</t>
    </r>
    <r>
      <rPr>
        <vertAlign val="superscript"/>
        <sz val="10"/>
        <rFont val="Arial"/>
        <family val="2"/>
      </rPr>
      <t xml:space="preserve">nd </t>
    </r>
    <r>
      <rPr>
        <sz val="10"/>
        <rFont val="Arial"/>
        <family val="0"/>
      </rPr>
      <t>4</t>
    </r>
  </si>
  <si>
    <r>
      <t xml:space="preserve">Stern Pitch ( </t>
    </r>
    <r>
      <rPr>
        <vertAlign val="superscript"/>
        <sz val="8"/>
        <rFont val="Arial"/>
        <family val="0"/>
      </rPr>
      <t>o</t>
    </r>
    <r>
      <rPr>
        <sz val="8"/>
        <rFont val="Arial"/>
        <family val="0"/>
      </rPr>
      <t>)</t>
    </r>
  </si>
  <si>
    <r>
      <t xml:space="preserve">Lateral Pitch ( </t>
    </r>
    <r>
      <rPr>
        <vertAlign val="superscript"/>
        <sz val="8"/>
        <rFont val="Arial"/>
        <family val="0"/>
      </rPr>
      <t>o</t>
    </r>
    <r>
      <rPr>
        <sz val="8"/>
        <rFont val="Arial"/>
        <family val="0"/>
      </rPr>
      <t>)</t>
    </r>
  </si>
  <si>
    <r>
      <t>Rake of Foot Stretcher (</t>
    </r>
    <r>
      <rPr>
        <vertAlign val="superscript"/>
        <sz val="8"/>
        <rFont val="Arial"/>
        <family val="2"/>
      </rPr>
      <t>o</t>
    </r>
    <r>
      <rPr>
        <sz val="8"/>
        <rFont val="Arial"/>
        <family val="0"/>
      </rPr>
      <t>)</t>
    </r>
  </si>
  <si>
    <t>Heal Height</t>
  </si>
  <si>
    <t>Foot Stretcher Height</t>
  </si>
  <si>
    <t>Fixed Range of Spread/Span</t>
  </si>
  <si>
    <t>Lower Boat Span / Spread</t>
  </si>
  <si>
    <t>Upper Boat Spread / Span</t>
  </si>
  <si>
    <t>Additional speed for each cm height gain</t>
  </si>
  <si>
    <t>Variation of oar length for a 1cm inboard change</t>
  </si>
  <si>
    <t>Cells in grey may be changed. You may also wish to alter the yellow cells. A lot of the base data is stored off screen to the right.</t>
  </si>
  <si>
    <t>The foot stretcher should be adjusted fore or aft so that shins are vertical at the catch. This should be the ideal position. However you may find that you are uncomfortable around the finish. If so you might adjust the foot stretcher fore or aft then square blade row. Continue to adjust. Alternatively you may need to adjust inboard or increase the height of the oarlock.</t>
  </si>
  <si>
    <t>Smooth</t>
  </si>
  <si>
    <t>F Smooth</t>
  </si>
  <si>
    <t>S</t>
  </si>
  <si>
    <t>IM1</t>
  </si>
  <si>
    <t>IM2</t>
  </si>
  <si>
    <t>IM3/N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</si>
</sst>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s>
  <fonts count="43">
    <font>
      <sz val="10"/>
      <name val="Arial"/>
      <family val="0"/>
    </font>
    <font>
      <sz val="8"/>
      <name val="Arial"/>
      <family val="0"/>
    </font>
    <font>
      <b/>
      <sz val="8"/>
      <name val="Tahoma"/>
      <family val="0"/>
    </font>
    <font>
      <vertAlign val="superscript"/>
      <sz val="10"/>
      <name val="Arial"/>
      <family val="2"/>
    </font>
    <font>
      <sz val="8"/>
      <name val="Tahoma"/>
      <family val="0"/>
    </font>
    <font>
      <b/>
      <sz val="10"/>
      <color indexed="9"/>
      <name val="Arial"/>
      <family val="2"/>
    </font>
    <font>
      <sz val="10"/>
      <color indexed="9"/>
      <name val="Arial"/>
      <family val="2"/>
    </font>
    <font>
      <vertAlign val="superscrip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5">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center" vertical="center" wrapText="1"/>
    </xf>
    <xf numFmtId="0" fontId="6" fillId="0" borderId="0" xfId="0" applyFont="1" applyBorder="1" applyAlignment="1">
      <alignment/>
    </xf>
    <xf numFmtId="0" fontId="0" fillId="0" borderId="0" xfId="0" applyBorder="1" applyAlignment="1">
      <alignment horizontal="center" vertical="center" textRotation="90" wrapText="1"/>
    </xf>
    <xf numFmtId="0" fontId="0" fillId="0" borderId="0" xfId="0" applyFill="1" applyBorder="1" applyAlignment="1">
      <alignment horizontal="center"/>
    </xf>
    <xf numFmtId="0" fontId="0" fillId="0" borderId="0" xfId="0" applyBorder="1" applyAlignment="1">
      <alignment horizontal="center" vertical="center"/>
    </xf>
    <xf numFmtId="164" fontId="0" fillId="33" borderId="10" xfId="0" applyNumberFormat="1" applyFill="1" applyBorder="1" applyAlignment="1">
      <alignment horizontal="center" vertical="center"/>
    </xf>
    <xf numFmtId="164" fontId="0" fillId="0" borderId="0" xfId="0" applyNumberFormat="1" applyBorder="1" applyAlignment="1">
      <alignment horizontal="center" vertical="center"/>
    </xf>
    <xf numFmtId="164" fontId="1" fillId="34" borderId="11" xfId="0" applyNumberFormat="1" applyFont="1" applyFill="1" applyBorder="1" applyAlignment="1" applyProtection="1">
      <alignment horizontal="center" vertical="center"/>
      <protection locked="0"/>
    </xf>
    <xf numFmtId="164" fontId="1" fillId="0" borderId="0" xfId="0" applyNumberFormat="1" applyFont="1" applyBorder="1" applyAlignment="1">
      <alignment horizontal="center" vertical="center"/>
    </xf>
    <xf numFmtId="164" fontId="1" fillId="34" borderId="12" xfId="0" applyNumberFormat="1" applyFont="1" applyFill="1" applyBorder="1" applyAlignment="1" applyProtection="1">
      <alignment horizontal="center" vertical="center"/>
      <protection locked="0"/>
    </xf>
    <xf numFmtId="164" fontId="0" fillId="0" borderId="11" xfId="0" applyNumberFormat="1" applyBorder="1" applyAlignment="1">
      <alignment horizontal="center" vertical="center"/>
    </xf>
    <xf numFmtId="0" fontId="0" fillId="0" borderId="11" xfId="0" applyBorder="1" applyAlignment="1">
      <alignment horizontal="center" vertical="center"/>
    </xf>
    <xf numFmtId="1" fontId="0" fillId="0" borderId="13" xfId="0" applyNumberFormat="1" applyBorder="1" applyAlignment="1">
      <alignment horizontal="center" vertical="center"/>
    </xf>
    <xf numFmtId="1" fontId="0" fillId="0" borderId="12" xfId="0" applyNumberFormat="1" applyBorder="1" applyAlignment="1">
      <alignment horizontal="center" vertical="center"/>
    </xf>
    <xf numFmtId="164" fontId="1" fillId="0" borderId="0" xfId="0" applyNumberFormat="1" applyFont="1" applyFill="1" applyBorder="1" applyAlignment="1" applyProtection="1">
      <alignment horizontal="center" vertical="center"/>
      <protection locked="0"/>
    </xf>
    <xf numFmtId="164" fontId="1" fillId="0" borderId="0" xfId="0" applyNumberFormat="1" applyFont="1" applyFill="1" applyBorder="1" applyAlignment="1">
      <alignment horizontal="center" vertical="center"/>
    </xf>
    <xf numFmtId="164" fontId="1" fillId="0" borderId="10" xfId="0" applyNumberFormat="1" applyFont="1" applyFill="1" applyBorder="1" applyAlignment="1" applyProtection="1">
      <alignment horizontal="center" vertical="center"/>
      <protection locked="0"/>
    </xf>
    <xf numFmtId="164" fontId="0" fillId="0" borderId="14" xfId="0" applyNumberFormat="1" applyBorder="1" applyAlignment="1">
      <alignment horizontal="center" vertical="center"/>
    </xf>
    <xf numFmtId="1" fontId="0" fillId="0" borderId="10" xfId="0" applyNumberFormat="1" applyBorder="1" applyAlignment="1">
      <alignment horizontal="center" vertical="center"/>
    </xf>
    <xf numFmtId="0" fontId="0" fillId="0" borderId="0" xfId="0" applyFont="1" applyBorder="1" applyAlignment="1">
      <alignment horizontal="center" vertical="center"/>
    </xf>
    <xf numFmtId="1" fontId="0" fillId="0" borderId="0" xfId="0" applyNumberFormat="1" applyBorder="1" applyAlignment="1">
      <alignment horizontal="center" vertical="center"/>
    </xf>
    <xf numFmtId="1" fontId="0" fillId="33" borderId="10" xfId="0" applyNumberFormat="1" applyFill="1" applyBorder="1" applyAlignment="1">
      <alignment horizontal="center" vertical="center"/>
    </xf>
    <xf numFmtId="164" fontId="0" fillId="0" borderId="11" xfId="0" applyNumberFormat="1" applyFill="1" applyBorder="1" applyAlignment="1">
      <alignment horizontal="center" vertical="center"/>
    </xf>
    <xf numFmtId="0" fontId="0" fillId="33" borderId="13"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164" fontId="0" fillId="0" borderId="10" xfId="0" applyNumberFormat="1" applyBorder="1" applyAlignment="1">
      <alignment horizontal="center" vertical="center" wrapText="1"/>
    </xf>
    <xf numFmtId="164" fontId="0" fillId="0" borderId="0" xfId="0" applyNumberFormat="1" applyBorder="1" applyAlignment="1">
      <alignment horizontal="center" vertical="center" textRotation="90"/>
    </xf>
    <xf numFmtId="0" fontId="1" fillId="0" borderId="0" xfId="0" applyFont="1" applyBorder="1" applyAlignment="1">
      <alignment horizontal="center" vertical="center"/>
    </xf>
    <xf numFmtId="1" fontId="1" fillId="34" borderId="11" xfId="0" applyNumberFormat="1" applyFont="1" applyFill="1" applyBorder="1" applyAlignment="1">
      <alignment horizontal="center" vertical="center"/>
    </xf>
    <xf numFmtId="0" fontId="1" fillId="34" borderId="11" xfId="0" applyFont="1" applyFill="1" applyBorder="1" applyAlignment="1" applyProtection="1">
      <alignment horizontal="center" vertical="center"/>
      <protection locked="0"/>
    </xf>
    <xf numFmtId="1" fontId="1" fillId="34" borderId="11" xfId="0" applyNumberFormat="1" applyFont="1" applyFill="1" applyBorder="1" applyAlignment="1" applyProtection="1">
      <alignment horizontal="center" vertical="center"/>
      <protection locked="0"/>
    </xf>
    <xf numFmtId="1" fontId="1" fillId="34" borderId="13" xfId="0" applyNumberFormat="1" applyFont="1" applyFill="1" applyBorder="1" applyAlignment="1" applyProtection="1">
      <alignment horizontal="center" vertical="center"/>
      <protection locked="0"/>
    </xf>
    <xf numFmtId="164" fontId="1" fillId="34" borderId="10" xfId="0" applyNumberFormat="1" applyFont="1" applyFill="1" applyBorder="1" applyAlignment="1" applyProtection="1">
      <alignment horizontal="center" vertical="center"/>
      <protection/>
    </xf>
    <xf numFmtId="1" fontId="1" fillId="34" borderId="12" xfId="0" applyNumberFormat="1" applyFont="1" applyFill="1" applyBorder="1" applyAlignment="1" applyProtection="1">
      <alignment horizontal="center" vertical="center"/>
      <protection locked="0"/>
    </xf>
    <xf numFmtId="164" fontId="1" fillId="0" borderId="16" xfId="0" applyNumberFormat="1" applyFont="1" applyBorder="1" applyAlignment="1">
      <alignment horizontal="center" vertical="center"/>
    </xf>
    <xf numFmtId="164"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1" fontId="1" fillId="0" borderId="13" xfId="0" applyNumberFormat="1" applyFont="1" applyBorder="1" applyAlignment="1">
      <alignment horizontal="center" vertical="center"/>
    </xf>
    <xf numFmtId="0" fontId="1" fillId="0" borderId="10" xfId="0" applyFont="1" applyBorder="1" applyAlignment="1">
      <alignment horizontal="center" vertical="center"/>
    </xf>
    <xf numFmtId="1" fontId="1" fillId="0" borderId="12" xfId="0" applyNumberFormat="1"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164" fontId="1" fillId="0" borderId="0" xfId="0" applyNumberFormat="1" applyFont="1" applyFill="1" applyBorder="1" applyAlignment="1" applyProtection="1">
      <alignment horizontal="center" vertical="center"/>
      <protection/>
    </xf>
    <xf numFmtId="1" fontId="1" fillId="0" borderId="0" xfId="0" applyNumberFormat="1" applyFont="1" applyFill="1" applyBorder="1" applyAlignment="1" applyProtection="1">
      <alignment horizontal="center" vertical="center"/>
      <protection locked="0"/>
    </xf>
    <xf numFmtId="1" fontId="1" fillId="0" borderId="0" xfId="0" applyNumberFormat="1" applyFont="1" applyFill="1" applyBorder="1" applyAlignment="1">
      <alignment horizontal="center" vertical="center"/>
    </xf>
    <xf numFmtId="0" fontId="1" fillId="0" borderId="11" xfId="0" applyFont="1" applyBorder="1" applyAlignment="1" applyProtection="1">
      <alignment horizontal="center" vertical="center" textRotation="90" wrapText="1"/>
      <protection/>
    </xf>
    <xf numFmtId="0" fontId="1" fillId="0" borderId="0" xfId="0" applyFont="1" applyBorder="1" applyAlignment="1" applyProtection="1">
      <alignment horizontal="center" vertical="center" textRotation="90" wrapText="1"/>
      <protection/>
    </xf>
    <xf numFmtId="0" fontId="0" fillId="0" borderId="0" xfId="0" applyBorder="1" applyAlignment="1" applyProtection="1">
      <alignment/>
      <protection hidden="1"/>
    </xf>
    <xf numFmtId="0" fontId="5" fillId="0" borderId="0" xfId="0" applyFont="1" applyAlignment="1" applyProtection="1">
      <alignment horizontal="center" vertical="center" textRotation="90"/>
      <protection hidden="1"/>
    </xf>
    <xf numFmtId="0" fontId="5" fillId="0" borderId="0" xfId="0" applyFont="1" applyFill="1" applyBorder="1" applyAlignment="1" applyProtection="1">
      <alignment horizontal="center" vertical="center" textRotation="90"/>
      <protection hidden="1"/>
    </xf>
    <xf numFmtId="0" fontId="6" fillId="0" borderId="0" xfId="0" applyFont="1" applyBorder="1" applyAlignment="1" applyProtection="1">
      <alignment horizontal="center" vertical="center" textRotation="90" wrapText="1"/>
      <protection hidden="1"/>
    </xf>
    <xf numFmtId="0" fontId="5" fillId="0" borderId="0" xfId="0" applyFont="1" applyAlignment="1" applyProtection="1">
      <alignment horizontal="center" vertical="center" textRotation="90" wrapText="1"/>
      <protection hidden="1"/>
    </xf>
    <xf numFmtId="0" fontId="5" fillId="0" borderId="0" xfId="0" applyFont="1" applyBorder="1" applyAlignment="1" applyProtection="1">
      <alignment horizontal="center" vertical="center" textRotation="90" wrapText="1"/>
      <protection hidden="1"/>
    </xf>
    <xf numFmtId="0" fontId="6" fillId="0" borderId="0" xfId="0" applyFont="1" applyFill="1" applyAlignment="1" applyProtection="1">
      <alignment horizontal="center" vertical="center"/>
      <protection hidden="1"/>
    </xf>
    <xf numFmtId="0" fontId="6" fillId="0" borderId="0" xfId="0" applyFont="1" applyFill="1" applyBorder="1" applyAlignment="1" applyProtection="1">
      <alignment horizontal="center" vertical="center" textRotation="90" wrapText="1"/>
      <protection hidden="1"/>
    </xf>
    <xf numFmtId="0" fontId="5" fillId="0" borderId="0" xfId="0" applyFont="1" applyAlignment="1" applyProtection="1">
      <alignment horizontal="center" wrapText="1"/>
      <protection hidden="1"/>
    </xf>
    <xf numFmtId="0" fontId="5" fillId="0" borderId="0" xfId="0" applyFont="1" applyBorder="1" applyAlignment="1" applyProtection="1">
      <alignment horizontal="center" wrapText="1"/>
      <protection hidden="1"/>
    </xf>
    <xf numFmtId="0" fontId="6" fillId="0" borderId="0" xfId="0" applyFont="1" applyAlignment="1" applyProtection="1">
      <alignment/>
      <protection hidden="1"/>
    </xf>
    <xf numFmtId="0" fontId="6" fillId="0" borderId="0" xfId="0" applyFont="1" applyBorder="1" applyAlignment="1" applyProtection="1">
      <alignment/>
      <protection hidden="1"/>
    </xf>
    <xf numFmtId="0" fontId="6" fillId="0" borderId="0" xfId="0" applyFont="1" applyFill="1" applyAlignment="1" applyProtection="1">
      <alignment/>
      <protection hidden="1"/>
    </xf>
    <xf numFmtId="0" fontId="6" fillId="0" borderId="0" xfId="0" applyFont="1" applyFill="1" applyBorder="1" applyAlignment="1" applyProtection="1">
      <alignment/>
      <protection hidden="1"/>
    </xf>
    <xf numFmtId="0" fontId="5" fillId="0" borderId="0" xfId="0" applyFont="1" applyAlignment="1" applyProtection="1">
      <alignment/>
      <protection hidden="1"/>
    </xf>
    <xf numFmtId="164" fontId="6" fillId="0" borderId="0" xfId="0" applyNumberFormat="1" applyFont="1" applyAlignment="1" applyProtection="1">
      <alignment/>
      <protection hidden="1"/>
    </xf>
    <xf numFmtId="164" fontId="6" fillId="0" borderId="0" xfId="0" applyNumberFormat="1" applyFont="1" applyBorder="1" applyAlignment="1" applyProtection="1">
      <alignment/>
      <protection hidden="1"/>
    </xf>
    <xf numFmtId="0" fontId="6" fillId="0" borderId="0" xfId="0" applyFont="1" applyAlignment="1" applyProtection="1">
      <alignment horizontal="center"/>
      <protection hidden="1"/>
    </xf>
    <xf numFmtId="0" fontId="6" fillId="0" borderId="0" xfId="0" applyFont="1" applyBorder="1" applyAlignment="1" applyProtection="1">
      <alignment horizontal="center"/>
      <protection hidden="1"/>
    </xf>
    <xf numFmtId="164" fontId="6" fillId="0" borderId="0" xfId="0" applyNumberFormat="1" applyFont="1" applyAlignment="1" applyProtection="1">
      <alignment horizontal="center"/>
      <protection hidden="1"/>
    </xf>
    <xf numFmtId="0" fontId="5" fillId="0" borderId="0" xfId="0" applyFont="1" applyAlignment="1" applyProtection="1">
      <alignment horizontal="left"/>
      <protection hidden="1"/>
    </xf>
    <xf numFmtId="0" fontId="6" fillId="0" borderId="0" xfId="0" applyFont="1" applyFill="1" applyAlignment="1" applyProtection="1">
      <alignment horizontal="center"/>
      <protection hidden="1"/>
    </xf>
    <xf numFmtId="0" fontId="6" fillId="0" borderId="0" xfId="0" applyFont="1" applyFill="1" applyBorder="1" applyAlignment="1" applyProtection="1">
      <alignment horizontal="center"/>
      <protection hidden="1"/>
    </xf>
    <xf numFmtId="0" fontId="5" fillId="0" borderId="0" xfId="0" applyFont="1" applyFill="1" applyAlignment="1" applyProtection="1">
      <alignment/>
      <protection hidden="1"/>
    </xf>
    <xf numFmtId="164" fontId="6" fillId="0" borderId="0" xfId="0" applyNumberFormat="1" applyFont="1" applyFill="1" applyAlignment="1" applyProtection="1">
      <alignment/>
      <protection hidden="1"/>
    </xf>
    <xf numFmtId="164" fontId="6" fillId="0" borderId="0" xfId="0" applyNumberFormat="1" applyFont="1" applyFill="1" applyBorder="1" applyAlignment="1" applyProtection="1">
      <alignment/>
      <protection hidden="1"/>
    </xf>
    <xf numFmtId="164" fontId="6" fillId="0" borderId="0" xfId="0" applyNumberFormat="1" applyFont="1" applyFill="1" applyAlignment="1" applyProtection="1">
      <alignment horizontal="center"/>
      <protection hidden="1"/>
    </xf>
    <xf numFmtId="0" fontId="6" fillId="0" borderId="0" xfId="0" applyFont="1" applyFill="1" applyAlignment="1" applyProtection="1">
      <alignment horizontal="right"/>
      <protection hidden="1"/>
    </xf>
    <xf numFmtId="2" fontId="6" fillId="0" borderId="0" xfId="0" applyNumberFormat="1" applyFont="1" applyFill="1" applyAlignment="1" applyProtection="1">
      <alignment horizontal="center"/>
      <protection hidden="1"/>
    </xf>
    <xf numFmtId="0" fontId="6" fillId="0" borderId="0" xfId="0" applyFont="1" applyFill="1" applyBorder="1" applyAlignment="1" applyProtection="1">
      <alignment horizontal="right"/>
      <protection hidden="1"/>
    </xf>
    <xf numFmtId="2" fontId="6" fillId="0" borderId="0" xfId="0" applyNumberFormat="1" applyFont="1" applyFill="1" applyBorder="1" applyAlignment="1" applyProtection="1">
      <alignment horizontal="center"/>
      <protection hidden="1"/>
    </xf>
    <xf numFmtId="0" fontId="5" fillId="0" borderId="0" xfId="0" applyFont="1" applyFill="1" applyAlignment="1" applyProtection="1">
      <alignment horizontal="left"/>
      <protection hidden="1"/>
    </xf>
    <xf numFmtId="0" fontId="6" fillId="0" borderId="0" xfId="0" applyFont="1" applyFill="1" applyAlignment="1" applyProtection="1">
      <alignment horizontal="left"/>
      <protection hidden="1"/>
    </xf>
    <xf numFmtId="0" fontId="5" fillId="0" borderId="0" xfId="0" applyFont="1" applyFill="1" applyBorder="1" applyAlignment="1" applyProtection="1">
      <alignment horizontal="center"/>
      <protection hidden="1"/>
    </xf>
    <xf numFmtId="164" fontId="6" fillId="0" borderId="0" xfId="0" applyNumberFormat="1"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1" fontId="6" fillId="0" borderId="0" xfId="0" applyNumberFormat="1" applyFont="1" applyBorder="1" applyAlignment="1" applyProtection="1">
      <alignment horizontal="center"/>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protection hidden="1"/>
    </xf>
    <xf numFmtId="1" fontId="1" fillId="0" borderId="0" xfId="0" applyNumberFormat="1" applyFont="1" applyBorder="1" applyAlignment="1">
      <alignment horizontal="center" vertical="center"/>
    </xf>
    <xf numFmtId="164" fontId="1" fillId="0" borderId="11" xfId="0" applyNumberFormat="1" applyFont="1" applyFill="1" applyBorder="1" applyAlignment="1">
      <alignment horizontal="center" vertical="center"/>
    </xf>
    <xf numFmtId="164" fontId="6" fillId="0" borderId="0" xfId="0" applyNumberFormat="1" applyFont="1" applyBorder="1" applyAlignment="1" applyProtection="1">
      <alignment horizontal="right"/>
      <protection hidden="1"/>
    </xf>
    <xf numFmtId="164" fontId="6" fillId="0" borderId="0" xfId="0" applyNumberFormat="1" applyFont="1" applyFill="1" applyBorder="1" applyAlignment="1" applyProtection="1">
      <alignment horizontal="right"/>
      <protection hidden="1"/>
    </xf>
    <xf numFmtId="164" fontId="1" fillId="33" borderId="11" xfId="0" applyNumberFormat="1" applyFont="1" applyFill="1" applyBorder="1" applyAlignment="1" applyProtection="1">
      <alignment horizontal="center" vertical="center"/>
      <protection locked="0"/>
    </xf>
    <xf numFmtId="164" fontId="1" fillId="0" borderId="0" xfId="0" applyNumberFormat="1" applyFont="1" applyFill="1" applyBorder="1" applyAlignment="1">
      <alignment horizontal="left" vertical="center"/>
    </xf>
    <xf numFmtId="1" fontId="0" fillId="33" borderId="11" xfId="0" applyNumberFormat="1" applyFill="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1" fontId="0" fillId="33" borderId="12" xfId="0" applyNumberFormat="1" applyFill="1" applyBorder="1" applyAlignment="1" applyProtection="1">
      <alignment horizontal="center" vertical="center"/>
      <protection locked="0"/>
    </xf>
    <xf numFmtId="1" fontId="0" fillId="33" borderId="13" xfId="0" applyNumberFormat="1" applyFill="1" applyBorder="1" applyAlignment="1" applyProtection="1">
      <alignment horizontal="center" vertical="center"/>
      <protection locked="0"/>
    </xf>
    <xf numFmtId="0" fontId="5" fillId="0" borderId="0" xfId="0" applyFont="1" applyFill="1" applyBorder="1" applyAlignment="1" applyProtection="1">
      <alignment horizontal="center" textRotation="90" wrapText="1"/>
      <protection hidden="1"/>
    </xf>
    <xf numFmtId="0" fontId="6" fillId="0" borderId="0" xfId="0" applyFont="1" applyFill="1" applyAlignment="1" applyProtection="1">
      <alignment/>
      <protection hidden="1"/>
    </xf>
    <xf numFmtId="0" fontId="5" fillId="0" borderId="0" xfId="0" applyFont="1" applyAlignment="1" applyProtection="1">
      <alignment horizontal="center" textRotation="90"/>
      <protection hidden="1"/>
    </xf>
    <xf numFmtId="0" fontId="6" fillId="0" borderId="0" xfId="0" applyFont="1" applyAlignment="1" applyProtection="1">
      <alignment horizontal="center"/>
      <protection hidden="1"/>
    </xf>
    <xf numFmtId="164"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1" fillId="0" borderId="13" xfId="0" applyFont="1" applyBorder="1" applyAlignment="1" applyProtection="1">
      <alignment horizontal="center" vertical="center" textRotation="90" wrapText="1"/>
      <protection/>
    </xf>
    <xf numFmtId="0" fontId="1" fillId="0" borderId="10" xfId="0" applyFont="1" applyBorder="1" applyAlignment="1" applyProtection="1">
      <alignment horizontal="center" vertical="center" textRotation="90" wrapText="1"/>
      <protection/>
    </xf>
    <xf numFmtId="0" fontId="1" fillId="0" borderId="12" xfId="0" applyFont="1" applyBorder="1" applyAlignment="1" applyProtection="1">
      <alignment horizontal="center" vertical="center" textRotation="90" wrapText="1"/>
      <protection/>
    </xf>
    <xf numFmtId="0" fontId="5" fillId="0" borderId="0" xfId="0" applyFont="1" applyFill="1" applyAlignment="1" applyProtection="1">
      <alignment horizontal="center" vertical="center"/>
      <protection hidden="1"/>
    </xf>
    <xf numFmtId="0" fontId="5" fillId="0" borderId="0" xfId="0" applyFont="1" applyAlignment="1" applyProtection="1">
      <alignment horizontal="center" vertical="center" textRotation="90"/>
      <protection hidden="1"/>
    </xf>
    <xf numFmtId="0" fontId="6" fillId="0" borderId="0" xfId="0" applyFont="1" applyAlignment="1" applyProtection="1">
      <alignment horizontal="center" vertical="center" textRotation="90"/>
      <protection hidden="1"/>
    </xf>
    <xf numFmtId="0" fontId="5" fillId="0" borderId="0" xfId="0" applyFont="1" applyFill="1" applyBorder="1" applyAlignment="1" applyProtection="1">
      <alignment horizontal="center" vertical="center" textRotation="90"/>
      <protection hidden="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164" fontId="0" fillId="0" borderId="13"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Alignment="1">
      <alignment horizontal="center" vertical="center" wrapText="1"/>
    </xf>
    <xf numFmtId="164" fontId="0" fillId="0" borderId="13" xfId="0" applyNumberForma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64" fontId="0" fillId="0" borderId="11" xfId="0" applyNumberFormat="1" applyFill="1" applyBorder="1" applyAlignment="1">
      <alignment horizontal="center" vertical="center" wrapText="1"/>
    </xf>
    <xf numFmtId="164" fontId="0" fillId="0" borderId="17" xfId="0" applyNumberFormat="1"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164" fontId="0" fillId="0" borderId="25" xfId="0" applyNumberFormat="1"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N68"/>
  <sheetViews>
    <sheetView tabSelected="1" view="pageBreakPreview" zoomScale="70" zoomScaleSheetLayoutView="70" zoomScalePageLayoutView="0" workbookViewId="0" topLeftCell="A1">
      <selection activeCell="BL32" sqref="BL32"/>
    </sheetView>
  </sheetViews>
  <sheetFormatPr defaultColWidth="9.140625" defaultRowHeight="12.75"/>
  <cols>
    <col min="1" max="1" width="3.140625" style="1" bestFit="1" customWidth="1"/>
    <col min="2" max="2" width="0.85546875" style="1" customWidth="1"/>
    <col min="3" max="3" width="3.140625" style="1" customWidth="1"/>
    <col min="4" max="4" width="0.85546875" style="1" customWidth="1"/>
    <col min="5" max="5" width="3.140625" style="1" bestFit="1" customWidth="1"/>
    <col min="6" max="6" width="0.85546875" style="1" customWidth="1"/>
    <col min="7" max="7" width="3.7109375" style="1" bestFit="1" customWidth="1"/>
    <col min="8" max="8" width="0.85546875" style="1" customWidth="1"/>
    <col min="9" max="9" width="6.7109375" style="1" bestFit="1" customWidth="1"/>
    <col min="10" max="10" width="0.9921875" style="1" customWidth="1"/>
    <col min="11" max="11" width="6.7109375" style="1" bestFit="1" customWidth="1"/>
    <col min="12" max="12" width="0.9921875" style="1" customWidth="1"/>
    <col min="13" max="13" width="5.57421875" style="1" bestFit="1" customWidth="1"/>
    <col min="14" max="14" width="0.9921875" style="1" customWidth="1"/>
    <col min="15" max="15" width="4.140625" style="1" customWidth="1"/>
    <col min="16" max="16" width="0.9921875" style="1" customWidth="1"/>
    <col min="17" max="17" width="2.00390625" style="1" customWidth="1"/>
    <col min="18" max="18" width="1.421875" style="1" customWidth="1"/>
    <col min="19" max="19" width="3.28125" style="1" customWidth="1"/>
    <col min="20" max="20" width="0.85546875" style="1" customWidth="1"/>
    <col min="21" max="21" width="5.421875" style="1" bestFit="1" customWidth="1"/>
    <col min="22" max="22" width="0.9921875" style="1" customWidth="1"/>
    <col min="23" max="23" width="7.00390625" style="1" bestFit="1" customWidth="1"/>
    <col min="24" max="24" width="0.9921875" style="1" customWidth="1"/>
    <col min="25" max="25" width="6.28125" style="1" bestFit="1" customWidth="1"/>
    <col min="26" max="26" width="0.9921875" style="1" customWidth="1"/>
    <col min="27" max="27" width="3.8515625" style="1" bestFit="1" customWidth="1"/>
    <col min="28" max="28" width="0.9921875" style="1" customWidth="1"/>
    <col min="29" max="29" width="9.00390625" style="1" customWidth="1"/>
    <col min="30" max="30" width="1.1484375" style="1" customWidth="1"/>
    <col min="31" max="31" width="5.421875" style="1" bestFit="1" customWidth="1"/>
    <col min="32" max="32" width="0.85546875" style="1" customWidth="1"/>
    <col min="33" max="33" width="5.28125" style="1" customWidth="1"/>
    <col min="34" max="34" width="0.9921875" style="1" customWidth="1"/>
    <col min="35" max="35" width="5.28125" style="1" customWidth="1"/>
    <col min="36" max="36" width="0.85546875" style="1" customWidth="1"/>
    <col min="37" max="37" width="5.57421875" style="1" customWidth="1"/>
    <col min="38" max="38" width="0.85546875" style="1" customWidth="1"/>
    <col min="39" max="39" width="6.57421875" style="1" customWidth="1"/>
    <col min="40" max="40" width="0.85546875" style="1" customWidth="1"/>
    <col min="41" max="41" width="6.140625" style="1" customWidth="1"/>
    <col min="42" max="42" width="0.85546875" style="1" customWidth="1"/>
    <col min="43" max="43" width="7.57421875" style="1" customWidth="1"/>
    <col min="44" max="44" width="0.85546875" style="1" customWidth="1"/>
    <col min="45" max="45" width="6.00390625" style="1" customWidth="1"/>
    <col min="46" max="46" width="0.85546875" style="1" customWidth="1"/>
    <col min="47" max="47" width="7.00390625" style="1" customWidth="1"/>
    <col min="48" max="48" width="0.9921875" style="1" customWidth="1"/>
    <col min="49" max="49" width="4.8515625" style="1" customWidth="1"/>
    <col min="50" max="50" width="0.9921875" style="1" customWidth="1"/>
    <col min="51" max="51" width="4.00390625" style="1" customWidth="1"/>
    <col min="52" max="52" width="0.85546875" style="1" customWidth="1"/>
    <col min="53" max="53" width="3.28125" style="1" customWidth="1"/>
    <col min="54" max="54" width="0.85546875" style="1" customWidth="1"/>
    <col min="55" max="55" width="3.140625" style="1" customWidth="1"/>
    <col min="56" max="56" width="0.85546875" style="1" customWidth="1"/>
    <col min="57" max="57" width="5.57421875" style="1" customWidth="1"/>
    <col min="58" max="58" width="0.85546875" style="1" customWidth="1"/>
    <col min="59" max="59" width="5.57421875" style="1" customWidth="1"/>
    <col min="60" max="60" width="0.85546875" style="1" customWidth="1"/>
    <col min="61" max="61" width="2.421875" style="1" customWidth="1"/>
    <col min="62" max="62" width="1.28515625" style="1" customWidth="1"/>
    <col min="63" max="63" width="3.7109375" style="1" customWidth="1"/>
    <col min="64" max="64" width="73.421875" style="1" customWidth="1"/>
    <col min="65" max="99" width="9.140625" style="1" customWidth="1"/>
    <col min="100" max="100" width="10.7109375" style="1" customWidth="1"/>
    <col min="101" max="101" width="10.28125" style="1" customWidth="1"/>
    <col min="102" max="102" width="11.140625" style="1" customWidth="1"/>
    <col min="103" max="103" width="10.57421875" style="1" customWidth="1"/>
    <col min="104" max="104" width="11.140625" style="1" customWidth="1"/>
    <col min="105" max="16384" width="9.140625" style="1" customWidth="1"/>
  </cols>
  <sheetData>
    <row r="1" spans="65:109" ht="13.5" thickBot="1">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row>
    <row r="2" spans="1:109" ht="12.75" customHeight="1">
      <c r="A2" s="7"/>
      <c r="B2" s="7"/>
      <c r="C2" s="7"/>
      <c r="D2" s="7"/>
      <c r="E2" s="7"/>
      <c r="F2" s="7"/>
      <c r="G2" s="7"/>
      <c r="H2" s="7"/>
      <c r="I2" s="7"/>
      <c r="J2" s="7"/>
      <c r="K2" s="7"/>
      <c r="L2" s="7"/>
      <c r="M2" s="7"/>
      <c r="N2" s="7"/>
      <c r="O2" s="7"/>
      <c r="P2" s="7"/>
      <c r="Q2" s="7"/>
      <c r="R2" s="7"/>
      <c r="S2" s="115" t="s">
        <v>131</v>
      </c>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7"/>
      <c r="AV2" s="7"/>
      <c r="AW2" s="7"/>
      <c r="AX2" s="7"/>
      <c r="AY2" s="7"/>
      <c r="AZ2" s="7"/>
      <c r="BA2" s="7"/>
      <c r="BB2" s="7"/>
      <c r="BC2" s="7"/>
      <c r="BD2" s="7"/>
      <c r="BE2" s="7"/>
      <c r="BF2" s="7"/>
      <c r="BG2" s="7"/>
      <c r="BH2" s="7"/>
      <c r="BI2" s="7"/>
      <c r="BJ2" s="7"/>
      <c r="BK2" s="7"/>
      <c r="BL2" s="7"/>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row>
    <row r="3" spans="1:109" ht="12.75">
      <c r="A3" s="7"/>
      <c r="B3" s="7"/>
      <c r="C3" s="7"/>
      <c r="D3" s="7"/>
      <c r="E3" s="7"/>
      <c r="F3" s="7"/>
      <c r="G3" s="7"/>
      <c r="H3" s="7"/>
      <c r="I3" s="7"/>
      <c r="J3" s="7"/>
      <c r="K3" s="7"/>
      <c r="L3" s="7"/>
      <c r="M3" s="7"/>
      <c r="N3" s="7"/>
      <c r="O3" s="7"/>
      <c r="P3" s="7"/>
      <c r="Q3" s="7"/>
      <c r="R3" s="7"/>
      <c r="S3" s="118"/>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20"/>
      <c r="AV3" s="7"/>
      <c r="AW3" s="7"/>
      <c r="AX3" s="7"/>
      <c r="AY3" s="7"/>
      <c r="AZ3" s="7"/>
      <c r="BA3" s="7"/>
      <c r="BB3" s="7"/>
      <c r="BC3" s="7"/>
      <c r="BD3" s="7"/>
      <c r="BE3" s="7"/>
      <c r="BF3" s="7"/>
      <c r="BG3" s="7"/>
      <c r="BH3" s="7"/>
      <c r="BI3" s="7"/>
      <c r="BJ3" s="7"/>
      <c r="BK3" s="7"/>
      <c r="BL3" s="7"/>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row>
    <row r="4" spans="1:109" ht="13.5" thickBot="1">
      <c r="A4" s="7"/>
      <c r="B4" s="7"/>
      <c r="C4" s="7"/>
      <c r="D4" s="7"/>
      <c r="E4" s="7"/>
      <c r="F4" s="7"/>
      <c r="G4" s="7"/>
      <c r="H4" s="7"/>
      <c r="I4" s="7"/>
      <c r="J4" s="7"/>
      <c r="K4" s="7"/>
      <c r="L4" s="7"/>
      <c r="M4" s="7"/>
      <c r="N4" s="7"/>
      <c r="O4" s="7"/>
      <c r="P4" s="7"/>
      <c r="Q4" s="7"/>
      <c r="R4" s="7"/>
      <c r="S4" s="121"/>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3"/>
      <c r="AV4" s="7"/>
      <c r="AW4" s="7"/>
      <c r="AX4" s="7"/>
      <c r="AY4" s="7"/>
      <c r="AZ4" s="7"/>
      <c r="BA4" s="7"/>
      <c r="BB4" s="7"/>
      <c r="BC4" s="7"/>
      <c r="BD4" s="7"/>
      <c r="BE4" s="7"/>
      <c r="BF4" s="7"/>
      <c r="BG4" s="7"/>
      <c r="BH4" s="7"/>
      <c r="BI4" s="7"/>
      <c r="BJ4" s="7"/>
      <c r="BK4" s="7"/>
      <c r="BL4" s="7"/>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row>
    <row r="5" spans="1:109" ht="12.7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row>
    <row r="6" spans="1:109" s="5" customFormat="1" ht="65.25" customHeight="1">
      <c r="A6" s="48" t="s">
        <v>8</v>
      </c>
      <c r="B6" s="49"/>
      <c r="C6" s="48" t="s">
        <v>17</v>
      </c>
      <c r="D6" s="49"/>
      <c r="E6" s="48" t="s">
        <v>87</v>
      </c>
      <c r="F6" s="49"/>
      <c r="G6" s="48" t="s">
        <v>42</v>
      </c>
      <c r="H6" s="49"/>
      <c r="I6" s="48" t="s">
        <v>41</v>
      </c>
      <c r="J6" s="49"/>
      <c r="K6" s="48" t="s">
        <v>29</v>
      </c>
      <c r="L6" s="49"/>
      <c r="M6" s="48" t="s">
        <v>55</v>
      </c>
      <c r="N6" s="49"/>
      <c r="O6" s="48" t="s">
        <v>43</v>
      </c>
      <c r="P6" s="49"/>
      <c r="Q6" s="108" t="s">
        <v>18</v>
      </c>
      <c r="R6" s="109"/>
      <c r="S6" s="110"/>
      <c r="T6" s="49"/>
      <c r="U6" s="48" t="s">
        <v>44</v>
      </c>
      <c r="V6" s="49"/>
      <c r="W6" s="48" t="s">
        <v>73</v>
      </c>
      <c r="X6" s="49"/>
      <c r="Y6" s="48" t="s">
        <v>105</v>
      </c>
      <c r="Z6" s="49"/>
      <c r="AA6" s="48" t="s">
        <v>84</v>
      </c>
      <c r="AB6" s="49"/>
      <c r="AC6" s="48" t="s">
        <v>7</v>
      </c>
      <c r="AD6" s="49"/>
      <c r="AE6" s="48" t="s">
        <v>45</v>
      </c>
      <c r="AF6" s="49"/>
      <c r="AG6" s="48" t="s">
        <v>127</v>
      </c>
      <c r="AH6" s="49"/>
      <c r="AI6" s="48" t="s">
        <v>128</v>
      </c>
      <c r="AJ6" s="49"/>
      <c r="AK6" s="48" t="s">
        <v>46</v>
      </c>
      <c r="AL6" s="49"/>
      <c r="AM6" s="48" t="s">
        <v>47</v>
      </c>
      <c r="AN6" s="49"/>
      <c r="AO6" s="48" t="s">
        <v>48</v>
      </c>
      <c r="AP6" s="49"/>
      <c r="AQ6" s="48" t="s">
        <v>49</v>
      </c>
      <c r="AR6" s="49"/>
      <c r="AS6" s="48" t="s">
        <v>50</v>
      </c>
      <c r="AT6" s="49"/>
      <c r="AU6" s="48" t="s">
        <v>123</v>
      </c>
      <c r="AV6" s="49"/>
      <c r="AW6" s="48" t="s">
        <v>125</v>
      </c>
      <c r="AX6" s="49"/>
      <c r="AY6" s="48" t="s">
        <v>61</v>
      </c>
      <c r="AZ6" s="49"/>
      <c r="BA6" s="48" t="s">
        <v>121</v>
      </c>
      <c r="BB6" s="49"/>
      <c r="BC6" s="48" t="s">
        <v>122</v>
      </c>
      <c r="BD6" s="49"/>
      <c r="BE6" s="48" t="s">
        <v>82</v>
      </c>
      <c r="BF6" s="49"/>
      <c r="BG6" s="48" t="s">
        <v>83</v>
      </c>
      <c r="BH6" s="49"/>
      <c r="BI6" s="108" t="s">
        <v>72</v>
      </c>
      <c r="BJ6" s="109"/>
      <c r="BK6" s="110"/>
      <c r="BL6" s="49"/>
      <c r="BM6" s="51"/>
      <c r="BN6" s="112" t="s">
        <v>6</v>
      </c>
      <c r="BO6" s="112"/>
      <c r="BP6" s="112" t="s">
        <v>11</v>
      </c>
      <c r="BQ6" s="112"/>
      <c r="BR6" s="112" t="s">
        <v>13</v>
      </c>
      <c r="BS6" s="112"/>
      <c r="BT6" s="112" t="s">
        <v>12</v>
      </c>
      <c r="BU6" s="112"/>
      <c r="BV6" s="51"/>
      <c r="BW6" s="51"/>
      <c r="BX6" s="114" t="s">
        <v>3</v>
      </c>
      <c r="BY6" s="114"/>
      <c r="BZ6" s="52" t="s">
        <v>14</v>
      </c>
      <c r="CA6" s="52" t="s">
        <v>9</v>
      </c>
      <c r="CB6" s="52" t="s">
        <v>10</v>
      </c>
      <c r="CC6" s="53"/>
      <c r="CD6" s="53"/>
      <c r="CE6" s="51" t="s">
        <v>8</v>
      </c>
      <c r="CF6" s="51"/>
      <c r="CG6" s="51" t="s">
        <v>15</v>
      </c>
      <c r="CH6" s="112" t="s">
        <v>7</v>
      </c>
      <c r="CI6" s="113"/>
      <c r="CJ6" s="54" t="s">
        <v>19</v>
      </c>
      <c r="CK6" s="112" t="s">
        <v>20</v>
      </c>
      <c r="CL6" s="112"/>
      <c r="CM6" s="55" t="s">
        <v>15</v>
      </c>
      <c r="CN6" s="53"/>
      <c r="CO6" s="55" t="s">
        <v>35</v>
      </c>
      <c r="CP6" s="53"/>
      <c r="CQ6" s="53"/>
      <c r="CR6" s="53"/>
      <c r="CS6" s="55"/>
      <c r="CT6" s="53"/>
      <c r="CU6" s="111"/>
      <c r="CV6" s="111"/>
      <c r="CW6" s="56"/>
      <c r="CX6" s="56"/>
      <c r="CY6" s="56"/>
      <c r="CZ6" s="56"/>
      <c r="DA6" s="56"/>
      <c r="DB6" s="57"/>
      <c r="DC6" s="102" t="s">
        <v>63</v>
      </c>
      <c r="DD6" s="53"/>
      <c r="DE6" s="53"/>
    </row>
    <row r="7" spans="1:109" ht="14.2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58" t="s">
        <v>2</v>
      </c>
      <c r="BN7" s="58" t="s">
        <v>4</v>
      </c>
      <c r="BO7" s="58" t="s">
        <v>5</v>
      </c>
      <c r="BP7" s="58" t="s">
        <v>4</v>
      </c>
      <c r="BQ7" s="58" t="s">
        <v>5</v>
      </c>
      <c r="BR7" s="58" t="s">
        <v>4</v>
      </c>
      <c r="BS7" s="58" t="s">
        <v>5</v>
      </c>
      <c r="BT7" s="58" t="s">
        <v>4</v>
      </c>
      <c r="BU7" s="58" t="s">
        <v>5</v>
      </c>
      <c r="BV7" s="58" t="s">
        <v>21</v>
      </c>
      <c r="BW7" s="58" t="s">
        <v>22</v>
      </c>
      <c r="BX7" s="58" t="s">
        <v>23</v>
      </c>
      <c r="BY7" s="58" t="s">
        <v>5</v>
      </c>
      <c r="BZ7" s="58" t="s">
        <v>23</v>
      </c>
      <c r="CA7" s="58" t="s">
        <v>23</v>
      </c>
      <c r="CB7" s="58" t="s">
        <v>23</v>
      </c>
      <c r="CC7" s="59" t="s">
        <v>104</v>
      </c>
      <c r="CD7" s="59" t="s">
        <v>124</v>
      </c>
      <c r="CE7" s="60"/>
      <c r="CF7" s="60"/>
      <c r="CG7" s="60"/>
      <c r="CH7" s="60"/>
      <c r="CI7" s="60"/>
      <c r="CJ7" s="60"/>
      <c r="CK7" s="60"/>
      <c r="CL7" s="60"/>
      <c r="CM7" s="61"/>
      <c r="CN7" s="61"/>
      <c r="CO7" s="61"/>
      <c r="CP7" s="61"/>
      <c r="CQ7" s="61"/>
      <c r="CR7" s="61"/>
      <c r="CS7" s="61"/>
      <c r="CT7" s="61"/>
      <c r="CU7" s="62"/>
      <c r="CV7" s="62"/>
      <c r="CW7" s="62"/>
      <c r="CX7" s="62"/>
      <c r="CY7" s="62"/>
      <c r="CZ7" s="62"/>
      <c r="DA7" s="62"/>
      <c r="DB7" s="63"/>
      <c r="DC7" s="103"/>
      <c r="DD7" s="61"/>
      <c r="DE7" s="61"/>
    </row>
    <row r="8" spans="1:109" s="2" customFormat="1" ht="12.75">
      <c r="A8" s="10" t="s">
        <v>3</v>
      </c>
      <c r="B8" s="30"/>
      <c r="C8" s="31">
        <f>IF($A$8="8+",8,IF(OR($A$8="4-",$A$8="4+",$A$8="4x+",$A$8="4x"),4,IF(OR($A$8="2x",$A$8="2-"),2,1)))</f>
        <v>8</v>
      </c>
      <c r="D8" s="11"/>
      <c r="E8" s="32" t="s">
        <v>65</v>
      </c>
      <c r="F8" s="11"/>
      <c r="G8" s="33">
        <v>190</v>
      </c>
      <c r="H8" s="11"/>
      <c r="I8" s="10" t="s">
        <v>25</v>
      </c>
      <c r="J8" s="11"/>
      <c r="K8" s="10" t="s">
        <v>25</v>
      </c>
      <c r="L8" s="11"/>
      <c r="M8" s="10" t="s">
        <v>59</v>
      </c>
      <c r="N8" s="11"/>
      <c r="O8" s="33">
        <v>90</v>
      </c>
      <c r="P8" s="11"/>
      <c r="Q8" s="34">
        <v>6</v>
      </c>
      <c r="R8" s="35" t="s">
        <v>16</v>
      </c>
      <c r="S8" s="36">
        <v>9</v>
      </c>
      <c r="T8" s="11">
        <f>IF($A$8="8+",(((SUM($Q$8:$Q$22)*60)+SUM($S$8:$S$22))/8),IF(OR($A$8="2x",$A$8="2-"),((SUM($Q$8:$Q$10)*60)+SUM($S$8:$S$10))/2,IF($A$8="1x",(Q8*60)+S8,((SUM($Q$8:$Q$14)*60)+SUM($S$8:$S$14))/4)))-((Q8*60)+S8)</f>
        <v>69.25</v>
      </c>
      <c r="U8" s="34">
        <v>90</v>
      </c>
      <c r="V8" s="37">
        <f>U8-IF($A$8="8+",SUM($O$8:$O$22)/8,IF(OR($A$8="4x",$A$8="4-",$A$8="4+",$A$8="4x+"),SUM($O$8:$O$14)/4,IF(OR($A$8="2-",$A$8="2x"),SUM($O$8:$O$10)/2,O8)))</f>
        <v>14.625</v>
      </c>
      <c r="W8" s="12" t="s">
        <v>32</v>
      </c>
      <c r="X8" s="11"/>
      <c r="Y8" s="10" t="s">
        <v>96</v>
      </c>
      <c r="Z8" s="11"/>
      <c r="AA8" s="10" t="s">
        <v>93</v>
      </c>
      <c r="AB8" s="11"/>
      <c r="AC8" s="10" t="s">
        <v>0</v>
      </c>
      <c r="AD8" s="11"/>
      <c r="AE8" s="93">
        <v>3.7</v>
      </c>
      <c r="AF8" s="17"/>
      <c r="AG8" s="93">
        <v>80</v>
      </c>
      <c r="AH8" s="17"/>
      <c r="AI8" s="93">
        <v>163</v>
      </c>
      <c r="AJ8" s="17"/>
      <c r="AK8" s="90">
        <f>IF(OR($A$8="1x",$A$8="2x",$A$8="4x",$A$8="4x+"),(G8/10)-1,(G8/10))+VLOOKUP(W8,CO14:CP16,2)+IF(I8="Small",-0.64,0)+IF(K8="Large",0.64,0)+IF(V8&gt;0,-V8/$CP$20,IF(V8&lt;0,V8/$CP$19,0))</f>
        <v>18.204298150163222</v>
      </c>
      <c r="AL8" s="11"/>
      <c r="AM8" s="38">
        <f>IF($A$8='Draft 10'!$CE$9,VLOOKUP(G8,Chart,10),IF($A$8='Draft 10'!$CE$11,VLOOKUP(G8,Chart,10),IF($A$8='Draft 10'!$CE$13,VLOOKUP(G8,Chart,10),IF($A$8='Draft 10'!$CE$15,VLOOKUP(G8,Chart,10),VLOOKUP(G8,Chart,11)))))</f>
        <v>31.5</v>
      </c>
      <c r="AN8" s="11">
        <f>IF($A$8='Draft 10'!$CE$9,VLOOKUP(G8,Chart,8),IF($A$8='Draft 10'!$CE$11,VLOOKUP(G8,Chart,6),IF($A$8='Draft 10'!$CE$13,VLOOKUP(G8,Chart,4),IF($A$8='Draft 10'!$CE$15,VLOOKUP(G8,Chart,2),VLOOKUP(G8,Chart,16)))))-IF($A$8='Draft 10'!$CE$8,2,IF($A$8='Draft 10'!$CE$10,1.4,IF($A$8='Draft 10'!$CE$12,1,0)))</f>
        <v>83.4999999999998</v>
      </c>
      <c r="AO8" s="38">
        <f>IF(AN8&lt;AG8,AG8,IF(AN8&gt;AI8,AI8,AN8))</f>
        <v>83.4999999999998</v>
      </c>
      <c r="AP8" s="11">
        <f>(VLOOKUP(G8,$BM$8:$CC$48,17)-(Q8*60+S8))/$CX$32*$CY$32</f>
        <v>0.6</v>
      </c>
      <c r="AQ8" s="38">
        <f>IF($A$8='Draft 10'!$CE$9,VLOOKUP(G8,Chart,7),(IF($A$8='Draft 10'!$CE$13,VLOOKUP(G8,Chart,5),(IF($A$8='Draft 10'!$CE$15,VLOOKUP(G8,Chart,3),VLOOKUP(G8,Chart,13))))))+VLOOKUP(AC8,BladeType,2)+VLOOKUP(Y8,$CX$24:$CY$26,2)+IF(AA8=$DA$24,$DB$24,IF(AA8=$DA$26,$DB$26,$DB$25))+AP8+(T8/$CQ$33*$CQ$32)+AR8</f>
        <v>377.8125</v>
      </c>
      <c r="AR8" s="11">
        <f>IF(AO8=AN8,0,IF(AO8=AG8,(AG8-AN8)*$AS$37,IF(AO8=AI8,(AI8-AN8)*$AS$37)))*IF($A$8=$CE$9,0.5,IF($A$8=$CE$11,0.5,IF($A$8=$CE$13,0.5,IF($A$8=$CE$15,2,1))))</f>
        <v>0</v>
      </c>
      <c r="AS8" s="90">
        <f>IF($A$8='Draft 10'!$CE$8,(AO8-(AE8/2)+AM8),IF($A$8='Draft 10'!$CE$10,(AO8-(AE8/2)+AM8),IF($A$8='Draft 10'!$CE$12,(AO8-(AE8/2)+AM8),IF($A$8='Draft 10'!$CE$14,(AO8-(AE8/2)+AM8),(AO8/2-(AE8/2)+AM8/2)))))</f>
        <v>113.1499999999998</v>
      </c>
      <c r="AT8" s="11"/>
      <c r="AU8" s="38" t="str">
        <f>IF(M8=$CO$38,VLOOKUP($CO$38,$CO$38:$CP$40,2),IF(M8=$CO$39,VLOOKUP($CO$39,$CO$38:$CP$40,2),IF(M8=$CO$40,VLOOKUP($CO$40,$CO$40:$CP$40,2),$CP$39)))</f>
        <v>40 - 42</v>
      </c>
      <c r="AV8" s="30">
        <f>(Q8*60+S8)-$DC$10</f>
        <v>32</v>
      </c>
      <c r="AW8" s="39">
        <f>VLOOKUP(G8,$BM$8:$CD$48,18)</f>
        <v>18.25</v>
      </c>
      <c r="AX8" s="30"/>
      <c r="AY8" s="38">
        <f>VLOOKUP($A$8,$CE$23:$CF$30,2)+6-(AV8/30+1)</f>
        <v>11.933333333333334</v>
      </c>
      <c r="AZ8" s="30"/>
      <c r="BA8" s="39">
        <f>VLOOKUP(E8,$CU$24:$CW$26,3)</f>
        <v>4</v>
      </c>
      <c r="BB8" s="30"/>
      <c r="BC8" s="39">
        <v>0</v>
      </c>
      <c r="BD8" s="30"/>
      <c r="BE8" s="39" t="str">
        <f>IF(AV8&lt;$BA$33,$BE$33,IF(AV8&lt;$BA$34,$BE$34,IF(AV8&lt;$BA$35,$BE$35,IF(AV8&lt;$BA$36,$BE$36,IF(AV8&lt;$BA$37,$BE$37,$BE$38)))))</f>
        <v>E</v>
      </c>
      <c r="BF8" s="30">
        <f>AV8-$DC$12</f>
        <v>-19.600000000000023</v>
      </c>
      <c r="BG8" s="39" t="str">
        <f>IF(AV8-$DC$12&lt;$BC$33,$BE$33,IF(AV8-$DC$12&lt;$BC$34,$BE$34,IF(AV8-$DC$12&lt;$BC$35,$BE$35,IF(AV8-$DC$12&lt;$BC$36,$BE$36,IF(AV8-$DC$12&lt;$BC$37,$BE$37,$BE$38)))))</f>
        <v>Int</v>
      </c>
      <c r="BH8" s="30"/>
      <c r="BI8" s="40">
        <f>INT(((Q8*60+S8)*HLOOKUP($A$8,$CV$18:$DC$21,4))/60)</f>
        <v>5</v>
      </c>
      <c r="BJ8" s="41" t="s">
        <v>16</v>
      </c>
      <c r="BK8" s="42">
        <f>(Q8*60+S8)*HLOOKUP($A$8,$CV$18:$DC$21,4)-BI8*60</f>
        <v>50.22151335311577</v>
      </c>
      <c r="BL8" s="89"/>
      <c r="BM8" s="64">
        <v>155</v>
      </c>
      <c r="BN8" s="65">
        <v>152</v>
      </c>
      <c r="BO8" s="65">
        <v>280</v>
      </c>
      <c r="BP8" s="65">
        <v>151</v>
      </c>
      <c r="BQ8" s="65">
        <v>281</v>
      </c>
      <c r="BR8" s="65">
        <v>150.75</v>
      </c>
      <c r="BS8" s="65">
        <v>281.5</v>
      </c>
      <c r="BT8" s="65">
        <v>150.5</v>
      </c>
      <c r="BU8" s="65">
        <v>282</v>
      </c>
      <c r="BV8" s="65">
        <v>18</v>
      </c>
      <c r="BW8" s="65">
        <v>28</v>
      </c>
      <c r="BX8" s="65">
        <v>80</v>
      </c>
      <c r="BY8" s="65">
        <v>365</v>
      </c>
      <c r="BZ8" s="65">
        <v>80.6</v>
      </c>
      <c r="CA8" s="65">
        <v>81</v>
      </c>
      <c r="CB8" s="65">
        <v>82</v>
      </c>
      <c r="CC8" s="66">
        <f>AS33</f>
        <v>492</v>
      </c>
      <c r="CD8" s="66">
        <v>13</v>
      </c>
      <c r="CE8" s="67" t="s">
        <v>3</v>
      </c>
      <c r="CF8" s="67"/>
      <c r="CG8" s="67">
        <v>55</v>
      </c>
      <c r="CH8" s="72" t="s">
        <v>0</v>
      </c>
      <c r="CI8" s="72">
        <v>0</v>
      </c>
      <c r="CJ8" s="69">
        <v>1</v>
      </c>
      <c r="CK8" s="67">
        <v>5</v>
      </c>
      <c r="CL8" s="67">
        <v>0</v>
      </c>
      <c r="CM8" s="68">
        <v>59</v>
      </c>
      <c r="CN8" s="68"/>
      <c r="CO8" s="70"/>
      <c r="CP8" s="64" t="s">
        <v>27</v>
      </c>
      <c r="CQ8" s="64" t="s">
        <v>28</v>
      </c>
      <c r="CR8" s="68"/>
      <c r="CS8" s="68"/>
      <c r="CT8" s="68"/>
      <c r="CU8" s="71"/>
      <c r="CV8" s="71"/>
      <c r="CW8" s="71"/>
      <c r="CX8" s="71"/>
      <c r="CY8" s="71"/>
      <c r="CZ8" s="71"/>
      <c r="DA8" s="71"/>
      <c r="DB8" s="72"/>
      <c r="DC8" s="103"/>
      <c r="DD8" s="68"/>
      <c r="DE8" s="68" t="s">
        <v>126</v>
      </c>
    </row>
    <row r="9" spans="1:109" s="6" customFormat="1" ht="12.75">
      <c r="A9" s="94"/>
      <c r="B9" s="43"/>
      <c r="C9" s="18"/>
      <c r="D9" s="18"/>
      <c r="E9" s="44"/>
      <c r="F9" s="18"/>
      <c r="G9" s="17"/>
      <c r="H9" s="18"/>
      <c r="I9" s="17"/>
      <c r="J9" s="18"/>
      <c r="K9" s="17"/>
      <c r="L9" s="18"/>
      <c r="M9" s="17"/>
      <c r="N9" s="18"/>
      <c r="O9" s="17"/>
      <c r="P9" s="18"/>
      <c r="Q9" s="17"/>
      <c r="R9" s="45"/>
      <c r="S9" s="17"/>
      <c r="T9" s="18"/>
      <c r="U9" s="46"/>
      <c r="V9" s="18"/>
      <c r="W9" s="19"/>
      <c r="X9" s="18"/>
      <c r="Y9" s="17"/>
      <c r="Z9" s="18"/>
      <c r="AA9" s="17"/>
      <c r="AB9" s="18"/>
      <c r="AC9" s="17"/>
      <c r="AD9" s="18"/>
      <c r="AE9" s="17"/>
      <c r="AF9" s="17"/>
      <c r="AG9" s="17"/>
      <c r="AH9" s="17"/>
      <c r="AI9" s="17"/>
      <c r="AJ9" s="18"/>
      <c r="AK9" s="18"/>
      <c r="AL9" s="18"/>
      <c r="AM9" s="18"/>
      <c r="AN9" s="18"/>
      <c r="AO9" s="18"/>
      <c r="AP9" s="18"/>
      <c r="AQ9" s="18"/>
      <c r="AR9" s="11"/>
      <c r="AS9" s="18"/>
      <c r="AT9" s="18"/>
      <c r="AU9" s="18"/>
      <c r="AV9" s="43"/>
      <c r="AW9" s="30"/>
      <c r="AX9" s="43"/>
      <c r="AY9" s="18"/>
      <c r="AZ9" s="43"/>
      <c r="BA9" s="43"/>
      <c r="BB9" s="43"/>
      <c r="BC9" s="43"/>
      <c r="BD9" s="43"/>
      <c r="BE9" s="43"/>
      <c r="BF9" s="43"/>
      <c r="BG9" s="43"/>
      <c r="BH9" s="43"/>
      <c r="BI9" s="47"/>
      <c r="BJ9" s="43"/>
      <c r="BK9" s="47"/>
      <c r="BL9" s="47"/>
      <c r="BM9" s="73">
        <v>156</v>
      </c>
      <c r="BN9" s="74">
        <v>152.2</v>
      </c>
      <c r="BO9" s="74">
        <v>280.25</v>
      </c>
      <c r="BP9" s="74">
        <v>151.2</v>
      </c>
      <c r="BQ9" s="74">
        <v>281.25</v>
      </c>
      <c r="BR9" s="74">
        <v>150.95</v>
      </c>
      <c r="BS9" s="74">
        <v>281.75</v>
      </c>
      <c r="BT9" s="74">
        <v>150.7</v>
      </c>
      <c r="BU9" s="74">
        <v>282.25</v>
      </c>
      <c r="BV9" s="74">
        <v>18.1</v>
      </c>
      <c r="BW9" s="74">
        <v>28.1</v>
      </c>
      <c r="BX9" s="74">
        <v>80.1</v>
      </c>
      <c r="BY9" s="74">
        <v>365.25</v>
      </c>
      <c r="BZ9" s="74">
        <v>80.7</v>
      </c>
      <c r="CA9" s="74">
        <v>81.1</v>
      </c>
      <c r="CB9" s="74">
        <v>82.1</v>
      </c>
      <c r="CC9" s="75">
        <f aca="true" t="shared" si="0" ref="CC9:CC48">CC8-$AS$34</f>
        <v>489</v>
      </c>
      <c r="CD9" s="75">
        <v>13.15</v>
      </c>
      <c r="CE9" s="71" t="s">
        <v>12</v>
      </c>
      <c r="CF9" s="71"/>
      <c r="CG9" s="71">
        <v>56</v>
      </c>
      <c r="CH9" s="71" t="s">
        <v>134</v>
      </c>
      <c r="CI9" s="71">
        <v>-7</v>
      </c>
      <c r="CJ9" s="76">
        <v>1.1</v>
      </c>
      <c r="CK9" s="71">
        <v>6</v>
      </c>
      <c r="CL9" s="71">
        <v>1</v>
      </c>
      <c r="CM9" s="72">
        <v>60</v>
      </c>
      <c r="CN9" s="72"/>
      <c r="CO9" s="71" t="s">
        <v>24</v>
      </c>
      <c r="CP9" s="62">
        <v>-0.64</v>
      </c>
      <c r="CQ9" s="62">
        <v>0</v>
      </c>
      <c r="CR9" s="72"/>
      <c r="CS9" s="72"/>
      <c r="CT9" s="72"/>
      <c r="CU9" s="77" t="s">
        <v>78</v>
      </c>
      <c r="CV9" s="76">
        <f>BA33</f>
        <v>20</v>
      </c>
      <c r="CW9" s="76">
        <f>BA34</f>
        <v>50</v>
      </c>
      <c r="CX9" s="76">
        <f>BA35</f>
        <v>61</v>
      </c>
      <c r="CY9" s="76">
        <f>BA36</f>
        <v>72</v>
      </c>
      <c r="CZ9" s="76">
        <f>BA37</f>
        <v>89</v>
      </c>
      <c r="DA9" s="71">
        <v>200</v>
      </c>
      <c r="DB9" s="72"/>
      <c r="DC9" s="103"/>
      <c r="DD9" s="72"/>
      <c r="DE9" s="72"/>
    </row>
    <row r="10" spans="1:109" s="2" customFormat="1" ht="12.75">
      <c r="A10" s="11"/>
      <c r="B10" s="30"/>
      <c r="C10" s="31">
        <f>IF($A$8="8+",7,IF(OR($A$8="4-",$A$8="4+",$A$8="4x+",$A$8="4x"),3,IF(OR($A$8="2x",$A$8="2-"),1,1)))</f>
        <v>7</v>
      </c>
      <c r="D10" s="11"/>
      <c r="E10" s="32" t="s">
        <v>65</v>
      </c>
      <c r="F10" s="11"/>
      <c r="G10" s="33">
        <v>190</v>
      </c>
      <c r="H10" s="11"/>
      <c r="I10" s="10" t="s">
        <v>25</v>
      </c>
      <c r="J10" s="11"/>
      <c r="K10" s="10" t="s">
        <v>25</v>
      </c>
      <c r="L10" s="11"/>
      <c r="M10" s="10" t="s">
        <v>59</v>
      </c>
      <c r="N10" s="11"/>
      <c r="O10" s="33">
        <v>90</v>
      </c>
      <c r="P10" s="11"/>
      <c r="Q10" s="34">
        <v>6</v>
      </c>
      <c r="R10" s="35" t="s">
        <v>16</v>
      </c>
      <c r="S10" s="36">
        <v>15</v>
      </c>
      <c r="T10" s="11">
        <f>IF($A$8="8+",(((SUM($Q$8:$Q$22)*60)+SUM($S$8:$S$22))/8),IF(OR($A$8="2x",$A$8="2-"),((SUM($Q$8:$Q$10)*60)+SUM($S$8:$S$10))/2,IF($A$8="1x",(Q10*60)+S10,((SUM($Q$8:$Q$14)*60)+SUM($S$8:$S$14))/4)))-((Q10*60)+S10)</f>
        <v>63.25</v>
      </c>
      <c r="U10" s="33">
        <v>90</v>
      </c>
      <c r="V10" s="37">
        <f>U10-IF($A$8="8+",SUM($O$8:$O$22)/8,IF(OR($A$8="4x",$A$8="4-",$A$8="4+",$A$8="4x+"),SUM($O$8:$O$14)/4,IF(OR($A$8="2-",$A$8="2x"),SUM($O$8:$O$10)/2,O10)))</f>
        <v>14.625</v>
      </c>
      <c r="W10" s="12" t="s">
        <v>32</v>
      </c>
      <c r="X10" s="11"/>
      <c r="Y10" s="10" t="s">
        <v>96</v>
      </c>
      <c r="Z10" s="11"/>
      <c r="AA10" s="10" t="s">
        <v>93</v>
      </c>
      <c r="AB10" s="11"/>
      <c r="AC10" s="10" t="s">
        <v>0</v>
      </c>
      <c r="AD10" s="11"/>
      <c r="AE10" s="93">
        <v>3.7</v>
      </c>
      <c r="AF10" s="17"/>
      <c r="AG10" s="93">
        <v>80</v>
      </c>
      <c r="AH10" s="17"/>
      <c r="AI10" s="93">
        <v>163</v>
      </c>
      <c r="AJ10" s="11"/>
      <c r="AK10" s="90">
        <f>IF(OR($A$8="1x",$A$8="2x",$A$8="4x",$A$8="4x+"),(G10/10)-1,(G10/10))+VLOOKUP(W10,CO14:CP16,2)+IF(I10="Small",-0.64,0)+IF(K10="Large",0.64,0)+IF(V10&gt;0,-V10/$CP$20,IF(V10&lt;0,V10/$CP$19,0))</f>
        <v>18.204298150163222</v>
      </c>
      <c r="AL10" s="11"/>
      <c r="AM10" s="38">
        <f>IF($A$8='Draft 10'!$CE$9,VLOOKUP(G10,Chart,10),IF($A$8='Draft 10'!$CE$11,VLOOKUP(G10,Chart,10),IF($A$8='Draft 10'!$CE$13,VLOOKUP(G10,Chart,10),IF($A$8='Draft 10'!$CE$15,VLOOKUP(G10,Chart,10),VLOOKUP(G10,Chart,11)))))</f>
        <v>31.5</v>
      </c>
      <c r="AN10" s="11">
        <f>IF($A$8='Draft 10'!$CE$9,VLOOKUP(G10,Chart,8),IF($A$8='Draft 10'!$CE$11,VLOOKUP(G10,Chart,6),IF($A$8='Draft 10'!$CE$13,VLOOKUP(G10,Chart,4),IF($A$8='Draft 10'!$CE$15,VLOOKUP(G10,Chart,2),VLOOKUP(G10,Chart,16)))))-IF($A$8='Draft 10'!$CE$8,2,IF($A$8='Draft 10'!$CE$10,1.4,IF($A$8='Draft 10'!$CE$12,1,0)))</f>
        <v>83.4999999999998</v>
      </c>
      <c r="AO10" s="38">
        <f>IF(AN10&lt;AG10,AG10,IF(AN10&gt;AI10,AI10,AN10))</f>
        <v>83.4999999999998</v>
      </c>
      <c r="AP10" s="11">
        <f>(VLOOKUP(G10,$BM$8:$CC$48,17)-(Q10*60+S10))/$CX$32*$CY$32</f>
        <v>0.4</v>
      </c>
      <c r="AQ10" s="38">
        <f>IF($A$8='Draft 10'!$CE$9,VLOOKUP(G10,Chart,7),(IF($A$8='Draft 10'!$CE$13,VLOOKUP(G10,Chart,5),(IF($A$8='Draft 10'!$CE$15,VLOOKUP(G10,Chart,3),VLOOKUP(G10,Chart,13))))))+VLOOKUP(AC10,BladeType,2)+VLOOKUP(Y10,$CX$24:$CY$26,2)+IF(AA10=$DA$24,$DB$24,IF(AA10=$DA$26,$DB$26,$DB$25))+AP10+(T10/$CQ$33*$CQ$32)+AR10</f>
        <v>377.3125</v>
      </c>
      <c r="AR10" s="11">
        <f>IF(AO10=AN10,0,IF(AO10=AG10,(AG10-AN10)*$AS$37,IF(AO10=AI10,(AI10-AN10)*$AS$37)))*IF($A$8=$CE$9,0.5,IF($A$8=$CE$11,0.5,IF($A$8=$CE$13,0.5,IF($A$8=$CE$15,2,1))))</f>
        <v>0</v>
      </c>
      <c r="AS10" s="90">
        <f>IF($A$8='Draft 10'!$CE$8,(AO10-(AE10/2)+AM10),IF($A$8='Draft 10'!$CE$10,(AO10-(AE10/2)+AM10),IF($A$8='Draft 10'!$CE$12,(AO10-(AE10/2)+AM10),IF($A$8='Draft 10'!$CE$14,(AO10-(AE10/2)+AM10),(AO10/2-(AE10/2)+AM10/2)))))</f>
        <v>113.1499999999998</v>
      </c>
      <c r="AT10" s="11"/>
      <c r="AU10" s="38" t="str">
        <f>IF(M10=$CO$38,VLOOKUP($CO$38,$CO$38:$CP$40,2),IF(M10=$CO$39,VLOOKUP($CO$39,$CO$38:$CP$40,2),IF(M10=$CO$40,VLOOKUP($CO$40,$CO$40:$CP$40,2),$CP$39)))</f>
        <v>40 - 42</v>
      </c>
      <c r="AV10" s="30">
        <f>(Q10*60+S10)-$DC$10</f>
        <v>38</v>
      </c>
      <c r="AW10" s="39">
        <f aca="true" t="shared" si="1" ref="AW10:AW22">VLOOKUP(G10,$BM$8:$CD$48,18)</f>
        <v>18.25</v>
      </c>
      <c r="AX10" s="30"/>
      <c r="AY10" s="38">
        <f>VLOOKUP($A$8,$CE$23:$CF$30,2)+6-(AV10/30+1)</f>
        <v>11.733333333333334</v>
      </c>
      <c r="AZ10" s="30"/>
      <c r="BA10" s="39">
        <f>VLOOKUP(E10,$CU$24:$CW$26,3)</f>
        <v>4</v>
      </c>
      <c r="BB10" s="30"/>
      <c r="BC10" s="39">
        <v>0</v>
      </c>
      <c r="BD10" s="30"/>
      <c r="BE10" s="39" t="str">
        <f>IF(AV10&lt;$BA$33,$BE$33,IF(AV10&lt;$BA$34,$BE$34,IF(AV10&lt;$BA$35,$BE$35,IF(AV10&lt;$BA$36,$BE$36,IF(AV10&lt;$BA$37,$BE$37,$BE$38)))))</f>
        <v>E</v>
      </c>
      <c r="BF10" s="30">
        <f aca="true" t="shared" si="2" ref="BF10:BF22">AV10-$DC$12</f>
        <v>-13.600000000000023</v>
      </c>
      <c r="BG10" s="39" t="str">
        <f>IF(AV10-$DC$12&lt;$BC$33,$BE$33,IF(AV10-$DC$12&lt;$BC$34,$BE$34,IF(AV10-$DC$12&lt;$BC$35,$BE$35,IF(AV10-$DC$12&lt;$BC$36,$BE$36,IF(AV10-$DC$12&lt;$BC$37,$BE$37,$BE$38)))))</f>
        <v>Int</v>
      </c>
      <c r="BH10" s="30"/>
      <c r="BI10" s="40">
        <f>INT(((Q10*60+S10)*HLOOKUP($A$8,$CV$18:$DC$21,4))/60)</f>
        <v>5</v>
      </c>
      <c r="BJ10" s="41" t="s">
        <v>16</v>
      </c>
      <c r="BK10" s="42">
        <f>(Q10*60+S10)*HLOOKUP($A$8,$CV$18:$DC$21,4)-BI10*60</f>
        <v>55.916172106824945</v>
      </c>
      <c r="BL10" s="89"/>
      <c r="BM10" s="64">
        <v>157</v>
      </c>
      <c r="BN10" s="65">
        <v>152.4</v>
      </c>
      <c r="BO10" s="65">
        <v>280.5</v>
      </c>
      <c r="BP10" s="65">
        <v>151.4</v>
      </c>
      <c r="BQ10" s="65">
        <v>281.5</v>
      </c>
      <c r="BR10" s="65">
        <v>151.15</v>
      </c>
      <c r="BS10" s="65">
        <v>282</v>
      </c>
      <c r="BT10" s="65">
        <v>150.9</v>
      </c>
      <c r="BU10" s="65">
        <v>282.5</v>
      </c>
      <c r="BV10" s="65">
        <v>18.2</v>
      </c>
      <c r="BW10" s="65">
        <v>28.2</v>
      </c>
      <c r="BX10" s="65">
        <v>80.2</v>
      </c>
      <c r="BY10" s="65">
        <v>365.5</v>
      </c>
      <c r="BZ10" s="65">
        <v>80.8</v>
      </c>
      <c r="CA10" s="65">
        <v>81.2</v>
      </c>
      <c r="CB10" s="65">
        <v>82.2</v>
      </c>
      <c r="CC10" s="66">
        <f t="shared" si="0"/>
        <v>486</v>
      </c>
      <c r="CD10" s="66">
        <v>13.3</v>
      </c>
      <c r="CE10" s="67" t="s">
        <v>14</v>
      </c>
      <c r="CF10" s="67"/>
      <c r="CG10" s="67">
        <v>57</v>
      </c>
      <c r="CH10" s="68" t="s">
        <v>1</v>
      </c>
      <c r="CI10" s="68">
        <v>10</v>
      </c>
      <c r="CJ10" s="69">
        <v>1.2</v>
      </c>
      <c r="CK10" s="67">
        <v>7</v>
      </c>
      <c r="CL10" s="67">
        <v>2</v>
      </c>
      <c r="CM10" s="68">
        <v>61</v>
      </c>
      <c r="CN10" s="68"/>
      <c r="CO10" s="67" t="s">
        <v>25</v>
      </c>
      <c r="CP10" s="60">
        <v>0</v>
      </c>
      <c r="CQ10" s="60">
        <v>0</v>
      </c>
      <c r="CR10" s="68"/>
      <c r="CS10" s="68"/>
      <c r="CT10" s="68"/>
      <c r="CU10" s="77" t="s">
        <v>76</v>
      </c>
      <c r="CV10" s="72">
        <f>$DC$10+CV9</f>
        <v>357</v>
      </c>
      <c r="CW10" s="72">
        <f>$DC$10+CW9</f>
        <v>387</v>
      </c>
      <c r="CX10" s="72">
        <f>$DC$10+CX9</f>
        <v>398</v>
      </c>
      <c r="CY10" s="72">
        <f>$DC$10+CY9</f>
        <v>409</v>
      </c>
      <c r="CZ10" s="72">
        <f>$DC$10+CZ9</f>
        <v>426</v>
      </c>
      <c r="DA10" s="78"/>
      <c r="DB10" s="72" t="s">
        <v>76</v>
      </c>
      <c r="DC10" s="63">
        <f>Q24*60+S24</f>
        <v>337</v>
      </c>
      <c r="DD10" s="68"/>
      <c r="DE10" s="91">
        <v>80</v>
      </c>
    </row>
    <row r="11" spans="1:109" s="6" customFormat="1" ht="12.75">
      <c r="A11" s="94"/>
      <c r="B11" s="43"/>
      <c r="C11" s="18"/>
      <c r="D11" s="18"/>
      <c r="E11" s="44"/>
      <c r="F11" s="18"/>
      <c r="G11" s="17"/>
      <c r="H11" s="18"/>
      <c r="I11" s="17"/>
      <c r="J11" s="18"/>
      <c r="K11" s="17"/>
      <c r="L11" s="18"/>
      <c r="M11" s="17"/>
      <c r="N11" s="18"/>
      <c r="O11" s="17"/>
      <c r="P11" s="18"/>
      <c r="Q11" s="17"/>
      <c r="R11" s="45"/>
      <c r="S11" s="17"/>
      <c r="T11" s="18"/>
      <c r="U11" s="46"/>
      <c r="V11" s="18"/>
      <c r="W11" s="19"/>
      <c r="X11" s="18"/>
      <c r="Y11" s="17"/>
      <c r="Z11" s="18"/>
      <c r="AA11" s="17"/>
      <c r="AB11" s="18"/>
      <c r="AC11" s="17"/>
      <c r="AD11" s="18"/>
      <c r="AE11" s="17"/>
      <c r="AF11" s="17"/>
      <c r="AG11" s="17"/>
      <c r="AH11" s="17"/>
      <c r="AI11" s="17"/>
      <c r="AJ11" s="18"/>
      <c r="AK11" s="18"/>
      <c r="AL11" s="18"/>
      <c r="AM11" s="18"/>
      <c r="AN11" s="18"/>
      <c r="AO11" s="18"/>
      <c r="AP11" s="18"/>
      <c r="AQ11" s="18"/>
      <c r="AR11" s="11"/>
      <c r="AS11" s="18"/>
      <c r="AT11" s="18"/>
      <c r="AU11" s="18"/>
      <c r="AV11" s="43"/>
      <c r="AW11" s="30"/>
      <c r="AX11" s="43"/>
      <c r="AY11" s="18"/>
      <c r="AZ11" s="43"/>
      <c r="BA11" s="43"/>
      <c r="BB11" s="43"/>
      <c r="BC11" s="43"/>
      <c r="BD11" s="43"/>
      <c r="BE11" s="43"/>
      <c r="BF11" s="43"/>
      <c r="BG11" s="43"/>
      <c r="BH11" s="43"/>
      <c r="BI11" s="47"/>
      <c r="BJ11" s="43"/>
      <c r="BK11" s="47"/>
      <c r="BL11" s="47"/>
      <c r="BM11" s="73">
        <v>158</v>
      </c>
      <c r="BN11" s="74">
        <v>152.6</v>
      </c>
      <c r="BO11" s="74">
        <v>280.75</v>
      </c>
      <c r="BP11" s="74">
        <v>151.6</v>
      </c>
      <c r="BQ11" s="74">
        <v>281.75</v>
      </c>
      <c r="BR11" s="74">
        <v>151.35</v>
      </c>
      <c r="BS11" s="74">
        <v>282.25</v>
      </c>
      <c r="BT11" s="74">
        <v>151.1</v>
      </c>
      <c r="BU11" s="74">
        <v>282.75</v>
      </c>
      <c r="BV11" s="74">
        <v>18.3</v>
      </c>
      <c r="BW11" s="74">
        <v>28.3</v>
      </c>
      <c r="BX11" s="74">
        <v>80.3</v>
      </c>
      <c r="BY11" s="74">
        <v>365.75</v>
      </c>
      <c r="BZ11" s="74">
        <v>80.9</v>
      </c>
      <c r="CA11" s="74">
        <v>81.3</v>
      </c>
      <c r="CB11" s="74">
        <v>82.3</v>
      </c>
      <c r="CC11" s="75">
        <f t="shared" si="0"/>
        <v>483</v>
      </c>
      <c r="CD11" s="75">
        <v>13.45</v>
      </c>
      <c r="CE11" s="71" t="s">
        <v>13</v>
      </c>
      <c r="CF11" s="71"/>
      <c r="CG11" s="71">
        <v>58</v>
      </c>
      <c r="CH11" s="68" t="s">
        <v>133</v>
      </c>
      <c r="CI11" s="68">
        <v>-2</v>
      </c>
      <c r="CJ11" s="76">
        <v>1.3</v>
      </c>
      <c r="CK11" s="71">
        <v>8</v>
      </c>
      <c r="CL11" s="71">
        <v>3</v>
      </c>
      <c r="CM11" s="72">
        <v>62</v>
      </c>
      <c r="CN11" s="72"/>
      <c r="CO11" s="71" t="s">
        <v>26</v>
      </c>
      <c r="CP11" s="62">
        <v>0</v>
      </c>
      <c r="CQ11" s="62">
        <v>0.64</v>
      </c>
      <c r="CR11" s="72"/>
      <c r="CS11" s="72"/>
      <c r="CT11" s="72"/>
      <c r="CU11" s="79" t="s">
        <v>77</v>
      </c>
      <c r="CV11" s="72">
        <f>$DC$11+CV9</f>
        <v>408.6</v>
      </c>
      <c r="CW11" s="72">
        <f>$DC$11+CW9</f>
        <v>438.6</v>
      </c>
      <c r="CX11" s="72">
        <f>$DC$11+CX9</f>
        <v>449.6</v>
      </c>
      <c r="CY11" s="72">
        <f>$DC$11+CY9</f>
        <v>460.6</v>
      </c>
      <c r="CZ11" s="72">
        <f>$DC$11+CZ9</f>
        <v>477.6</v>
      </c>
      <c r="DA11" s="80"/>
      <c r="DB11" s="72" t="s">
        <v>77</v>
      </c>
      <c r="DC11" s="79">
        <f>Q26*60+S26</f>
        <v>388.6</v>
      </c>
      <c r="DD11" s="72"/>
      <c r="DE11" s="92">
        <v>80.5</v>
      </c>
    </row>
    <row r="12" spans="1:109" s="2" customFormat="1" ht="12.75">
      <c r="A12" s="11"/>
      <c r="B12" s="30"/>
      <c r="C12" s="31">
        <f>IF($A$8="8+",6,IF(OR($A$8="4-",$A$8="4+",$A$8="4x+",$A$8="4x"),2,IF(OR($A$8="2x",$A$8="2-"),2,1)))</f>
        <v>6</v>
      </c>
      <c r="D12" s="11"/>
      <c r="E12" s="32" t="s">
        <v>65</v>
      </c>
      <c r="F12" s="11"/>
      <c r="G12" s="33">
        <v>185</v>
      </c>
      <c r="H12" s="11"/>
      <c r="I12" s="10" t="s">
        <v>25</v>
      </c>
      <c r="J12" s="11"/>
      <c r="K12" s="10" t="s">
        <v>25</v>
      </c>
      <c r="L12" s="11"/>
      <c r="M12" s="10" t="s">
        <v>59</v>
      </c>
      <c r="N12" s="11"/>
      <c r="O12" s="33">
        <v>83</v>
      </c>
      <c r="P12" s="11"/>
      <c r="Q12" s="34">
        <v>6</v>
      </c>
      <c r="R12" s="35" t="s">
        <v>16</v>
      </c>
      <c r="S12" s="36">
        <v>23</v>
      </c>
      <c r="T12" s="11">
        <f>IF($A$8="8+",(((SUM($Q$8:$Q$22)*60)+SUM($S$8:$S$22))/8),IF(OR($A$8="2x",$A$8="2-"),((SUM($Q$12:$Q$14)*60)+SUM($S$12:$S$14))/2,IF($A$8="1x",(Q12*60)+S12,((SUM($Q$8:$Q$14)*60)+SUM($S$8:$S$14))/4)))-((Q12*60)+S12)</f>
        <v>55.25</v>
      </c>
      <c r="U12" s="33">
        <v>90</v>
      </c>
      <c r="V12" s="37">
        <f>U12-IF($A$8="8+",SUM($O$8:$O$22)/8,IF(OR($A$8="4x",$A$8="4-",$A$8="4+",$A$8="4x+"),SUM($O$8:$O$14)/4,IF(OR($A$8="2-",$A$8="2x"),SUM(O12:O14)/2,O12)))</f>
        <v>14.625</v>
      </c>
      <c r="W12" s="12" t="s">
        <v>32</v>
      </c>
      <c r="X12" s="11"/>
      <c r="Y12" s="10" t="s">
        <v>96</v>
      </c>
      <c r="Z12" s="11"/>
      <c r="AA12" s="10" t="s">
        <v>93</v>
      </c>
      <c r="AB12" s="11"/>
      <c r="AC12" s="10" t="s">
        <v>0</v>
      </c>
      <c r="AD12" s="11"/>
      <c r="AE12" s="93">
        <v>3.7</v>
      </c>
      <c r="AF12" s="17"/>
      <c r="AG12" s="93">
        <v>80</v>
      </c>
      <c r="AH12" s="17"/>
      <c r="AI12" s="93">
        <v>163</v>
      </c>
      <c r="AJ12" s="11"/>
      <c r="AK12" s="90">
        <f>IF(OR($A$8="1x",$A$8="2x",$A$8="4x",$A$8="4x+"),(G12/10)-1,(G12/10))+VLOOKUP(W12,CO14:CP16,2)+IF(I12="Small",-0.64,0)+IF(K12="Large",0.64,0)+IF(V12&gt;0,-V12/$CP$20,IF(V12&lt;0,V12/$CP$19,0))</f>
        <v>17.704298150163222</v>
      </c>
      <c r="AL12" s="11"/>
      <c r="AM12" s="38">
        <f>IF($A$8='Draft 10'!$CE$9,VLOOKUP(G12,Chart,10),IF($A$8='Draft 10'!$CE$11,VLOOKUP(G12,Chart,10),IF($A$8='Draft 10'!$CE$13,VLOOKUP(G12,Chart,10),IF($A$8='Draft 10'!$CE$15,VLOOKUP(G12,Chart,10),VLOOKUP(G12,Chart,11)))))</f>
        <v>31</v>
      </c>
      <c r="AN12" s="11">
        <f>IF($A$8='Draft 10'!$CE$9,VLOOKUP(G12,Chart,8),IF($A$8='Draft 10'!$CE$11,VLOOKUP(G12,Chart,6),IF($A$8='Draft 10'!$CE$13,VLOOKUP(G12,Chart,4),IF($A$8='Draft 10'!$CE$15,VLOOKUP(G12,Chart,2),VLOOKUP(G12,Chart,16)))))-IF($A$8='Draft 10'!$CE$8,2,IF($A$8='Draft 10'!$CE$10,1.4,IF($A$8='Draft 10'!$CE$12,1,0)))</f>
        <v>82.9999999999998</v>
      </c>
      <c r="AO12" s="90">
        <f>IF(AN12&lt;AG12,AG12,IF(AN12&gt;AI12,AI12,AN12))</f>
        <v>82.9999999999998</v>
      </c>
      <c r="AP12" s="11">
        <f>(VLOOKUP(G12,$BM$8:$CC$48,17)-(Q12*60+S12))/$CX$32*$CY$32</f>
        <v>0.6333333333333333</v>
      </c>
      <c r="AQ12" s="90">
        <f>IF($A$8='Draft 10'!$CE$9,VLOOKUP(G12,Chart,7),(IF($A$8='Draft 10'!$CE$13,VLOOKUP(G12,Chart,5),(IF($A$8='Draft 10'!$CE$15,VLOOKUP(G12,Chart,3),VLOOKUP(G12,Chart,13))))))+VLOOKUP(AC12,BladeType,2)+VLOOKUP(Y12,$CX$24:$CY$26,2)+IF(AA12=$DA$24,$DB$24,IF(AA12=$DA$26,$DB$26,$DB$25))+AP12+(T12/$CQ$33*$CQ$32)+AR12</f>
        <v>375.8958333333333</v>
      </c>
      <c r="AR12" s="11">
        <f>IF(AO12=AN12,0,IF(AO12=AG12,(AG12-AN12)*$AS$37,IF(AO12=AI12,(AI12-AN12)*$AS$37)))*IF($A$8=$CE$9,0.5,IF($A$8=$CE$11,0.5,IF($A$8=$CE$13,0.5,IF($A$8=$CE$15,2,1))))</f>
        <v>0</v>
      </c>
      <c r="AS12" s="90">
        <f>IF($A$8='Draft 10'!$CE$8,(AO12-(AE12/2)+AM12),IF($A$8='Draft 10'!$CE$10,(AO12-(AE12/2)+AM12),IF($A$8='Draft 10'!$CE$12,(AO12-(AE12/2)+AM12),IF($A$8='Draft 10'!$CE$14,(AO12-(AE12/2)+AM12),(AO12/2-(AE12/2)+AM12/2)))))</f>
        <v>112.1499999999998</v>
      </c>
      <c r="AT12" s="11"/>
      <c r="AU12" s="38" t="str">
        <f>IF(M12=$CO$38,VLOOKUP($CO$38,$CO$38:$CP$40,2),IF(M12=$CO$39,VLOOKUP($CO$39,$CO$38:$CP$40,2),IF(M12=$CO$40,VLOOKUP($CO$40,$CO$40:$CP$40,2),$CP$39)))</f>
        <v>40 - 42</v>
      </c>
      <c r="AV12" s="30">
        <f aca="true" t="shared" si="3" ref="AV12:AV22">(Q12*60+S12)-$DC$10</f>
        <v>46</v>
      </c>
      <c r="AW12" s="39">
        <f t="shared" si="1"/>
        <v>17.5</v>
      </c>
      <c r="AX12" s="30"/>
      <c r="AY12" s="38">
        <f>VLOOKUP($A$8,$CE$23:$CF$30,2)+6-(AV12/30+1)</f>
        <v>11.466666666666667</v>
      </c>
      <c r="AZ12" s="30"/>
      <c r="BA12" s="39">
        <f>VLOOKUP(E12,$CU$24:$CW$26,3)</f>
        <v>4</v>
      </c>
      <c r="BB12" s="30"/>
      <c r="BC12" s="39">
        <v>0</v>
      </c>
      <c r="BD12" s="30"/>
      <c r="BE12" s="39" t="str">
        <f>IF(AV12&lt;$BA$33,$BE$33,IF(AV12&lt;$BA$34,$BE$34,IF(AV12&lt;$BA$35,$BE$35,IF(AV12&lt;$BA$36,$BE$36,IF(AV12&lt;$BA$37,$BE$37,$BE$38)))))</f>
        <v>E</v>
      </c>
      <c r="BF12" s="30">
        <f t="shared" si="2"/>
        <v>-5.600000000000023</v>
      </c>
      <c r="BG12" s="39" t="str">
        <f>IF(AV12-$DC$12&lt;$BC$33,$BE$33,IF(AV12-$DC$12&lt;$BC$34,$BE$34,IF(AV12-$DC$12&lt;$BC$35,$BE$35,IF(AV12-$DC$12&lt;$BC$36,$BE$36,IF(AV12-$DC$12&lt;$BC$37,$BE$37,$BE$38)))))</f>
        <v>Int</v>
      </c>
      <c r="BH12" s="30"/>
      <c r="BI12" s="40">
        <f>INT(((Q12*60+S12)*HLOOKUP($A$8,$CV$18:$DC$21,4))/60)</f>
        <v>6</v>
      </c>
      <c r="BJ12" s="41" t="s">
        <v>16</v>
      </c>
      <c r="BK12" s="42">
        <f>(Q12*60+S12)*HLOOKUP($A$8,$CV$18:$DC$21,4)-BI12*60</f>
        <v>3.5090504451039237</v>
      </c>
      <c r="BL12" s="89"/>
      <c r="BM12" s="64">
        <v>159</v>
      </c>
      <c r="BN12" s="65">
        <v>152.8</v>
      </c>
      <c r="BO12" s="65">
        <v>281</v>
      </c>
      <c r="BP12" s="65">
        <v>151.8</v>
      </c>
      <c r="BQ12" s="65">
        <v>282</v>
      </c>
      <c r="BR12" s="65">
        <v>151.55</v>
      </c>
      <c r="BS12" s="65">
        <v>282.5</v>
      </c>
      <c r="BT12" s="65">
        <v>151.3</v>
      </c>
      <c r="BU12" s="65">
        <v>283</v>
      </c>
      <c r="BV12" s="65">
        <v>18.4</v>
      </c>
      <c r="BW12" s="65">
        <v>28.4</v>
      </c>
      <c r="BX12" s="65">
        <v>80.4</v>
      </c>
      <c r="BY12" s="65">
        <v>366</v>
      </c>
      <c r="BZ12" s="65">
        <v>81</v>
      </c>
      <c r="CA12" s="65">
        <v>81.4</v>
      </c>
      <c r="CB12" s="65">
        <v>82.4</v>
      </c>
      <c r="CC12" s="66">
        <f t="shared" si="0"/>
        <v>480</v>
      </c>
      <c r="CD12" s="66">
        <v>13.6</v>
      </c>
      <c r="CE12" s="67" t="s">
        <v>9</v>
      </c>
      <c r="CF12" s="67"/>
      <c r="CG12" s="67">
        <v>59</v>
      </c>
      <c r="CH12" s="67"/>
      <c r="CI12" s="67"/>
      <c r="CJ12" s="69">
        <v>1.4</v>
      </c>
      <c r="CK12" s="67">
        <v>9</v>
      </c>
      <c r="CL12" s="67">
        <v>4</v>
      </c>
      <c r="CM12" s="68">
        <v>63</v>
      </c>
      <c r="CN12" s="68"/>
      <c r="CO12" s="68"/>
      <c r="CP12" s="68"/>
      <c r="CQ12" s="68"/>
      <c r="CR12" s="68"/>
      <c r="CS12" s="68"/>
      <c r="CT12" s="68"/>
      <c r="CU12" s="72"/>
      <c r="CV12" s="72" t="s">
        <v>64</v>
      </c>
      <c r="CW12" s="72" t="s">
        <v>65</v>
      </c>
      <c r="CX12" s="72" t="s">
        <v>66</v>
      </c>
      <c r="CY12" s="72" t="s">
        <v>67</v>
      </c>
      <c r="CZ12" s="72" t="s">
        <v>68</v>
      </c>
      <c r="DA12" s="72" t="s">
        <v>69</v>
      </c>
      <c r="DB12" s="72" t="s">
        <v>38</v>
      </c>
      <c r="DC12" s="79">
        <f>DC11-DC10</f>
        <v>51.60000000000002</v>
      </c>
      <c r="DD12" s="68"/>
      <c r="DE12" s="91">
        <v>81</v>
      </c>
    </row>
    <row r="13" spans="1:109" s="6" customFormat="1" ht="12.75">
      <c r="A13" s="18"/>
      <c r="B13" s="43"/>
      <c r="C13" s="18"/>
      <c r="D13" s="18"/>
      <c r="E13" s="44"/>
      <c r="F13" s="18"/>
      <c r="G13" s="17"/>
      <c r="H13" s="18"/>
      <c r="I13" s="17"/>
      <c r="J13" s="18"/>
      <c r="K13" s="17"/>
      <c r="L13" s="18"/>
      <c r="M13" s="17"/>
      <c r="N13" s="18"/>
      <c r="O13" s="17"/>
      <c r="P13" s="18"/>
      <c r="Q13" s="17"/>
      <c r="R13" s="45"/>
      <c r="S13" s="17"/>
      <c r="T13" s="18"/>
      <c r="U13" s="46"/>
      <c r="V13" s="18"/>
      <c r="W13" s="19"/>
      <c r="X13" s="18"/>
      <c r="Y13" s="17"/>
      <c r="Z13" s="18"/>
      <c r="AA13" s="17"/>
      <c r="AB13" s="18"/>
      <c r="AC13" s="17"/>
      <c r="AD13" s="18"/>
      <c r="AE13" s="17"/>
      <c r="AF13" s="17"/>
      <c r="AG13" s="17"/>
      <c r="AH13" s="17"/>
      <c r="AI13" s="17"/>
      <c r="AJ13" s="18"/>
      <c r="AK13" s="18"/>
      <c r="AL13" s="18"/>
      <c r="AM13" s="18"/>
      <c r="AN13" s="18"/>
      <c r="AO13" s="18"/>
      <c r="AP13" s="18"/>
      <c r="AQ13" s="18"/>
      <c r="AR13" s="11"/>
      <c r="AS13" s="18"/>
      <c r="AT13" s="18"/>
      <c r="AU13" s="18"/>
      <c r="AV13" s="43"/>
      <c r="AW13" s="30"/>
      <c r="AX13" s="43"/>
      <c r="AY13" s="18"/>
      <c r="AZ13" s="43"/>
      <c r="BA13" s="43"/>
      <c r="BB13" s="43"/>
      <c r="BC13" s="43"/>
      <c r="BD13" s="43"/>
      <c r="BE13" s="43"/>
      <c r="BF13" s="43"/>
      <c r="BG13" s="43"/>
      <c r="BH13" s="43"/>
      <c r="BI13" s="47"/>
      <c r="BJ13" s="43"/>
      <c r="BK13" s="47"/>
      <c r="BL13" s="47"/>
      <c r="BM13" s="73">
        <v>160</v>
      </c>
      <c r="BN13" s="74">
        <v>153</v>
      </c>
      <c r="BO13" s="74">
        <v>281.25</v>
      </c>
      <c r="BP13" s="74">
        <v>152</v>
      </c>
      <c r="BQ13" s="74">
        <v>282.25</v>
      </c>
      <c r="BR13" s="74">
        <v>151.75</v>
      </c>
      <c r="BS13" s="74">
        <v>282.75</v>
      </c>
      <c r="BT13" s="74">
        <v>151.5</v>
      </c>
      <c r="BU13" s="74">
        <v>283.25</v>
      </c>
      <c r="BV13" s="74">
        <v>18.5</v>
      </c>
      <c r="BW13" s="74">
        <v>28.5</v>
      </c>
      <c r="BX13" s="74">
        <v>80.5</v>
      </c>
      <c r="BY13" s="74">
        <v>366.25</v>
      </c>
      <c r="BZ13" s="74">
        <v>81.1</v>
      </c>
      <c r="CA13" s="74">
        <v>81.5</v>
      </c>
      <c r="CB13" s="74">
        <v>82.5</v>
      </c>
      <c r="CC13" s="75">
        <f t="shared" si="0"/>
        <v>477</v>
      </c>
      <c r="CD13" s="75">
        <v>13.75</v>
      </c>
      <c r="CE13" s="71" t="s">
        <v>11</v>
      </c>
      <c r="CF13" s="71"/>
      <c r="CG13" s="71">
        <v>60</v>
      </c>
      <c r="CH13" s="68"/>
      <c r="CI13" s="68"/>
      <c r="CJ13" s="76">
        <v>1.5</v>
      </c>
      <c r="CK13" s="71">
        <v>10</v>
      </c>
      <c r="CL13" s="71">
        <v>5</v>
      </c>
      <c r="CM13" s="72">
        <v>64</v>
      </c>
      <c r="CN13" s="72"/>
      <c r="CO13" s="81" t="s">
        <v>30</v>
      </c>
      <c r="CP13" s="71"/>
      <c r="CQ13" s="72"/>
      <c r="CR13" s="72"/>
      <c r="CS13" s="72"/>
      <c r="CT13" s="72"/>
      <c r="CU13" s="71"/>
      <c r="CV13" s="71"/>
      <c r="CW13" s="71"/>
      <c r="CX13" s="71"/>
      <c r="CY13" s="71"/>
      <c r="CZ13" s="72"/>
      <c r="DA13" s="72"/>
      <c r="DB13" s="72"/>
      <c r="DC13" s="72"/>
      <c r="DD13" s="72"/>
      <c r="DE13" s="92">
        <v>81.5</v>
      </c>
    </row>
    <row r="14" spans="1:109" s="2" customFormat="1" ht="12.75">
      <c r="A14" s="11"/>
      <c r="B14" s="30"/>
      <c r="C14" s="31">
        <f>IF($A$8="8+",5,IF(OR($A$8="4-",$A$8="4+",$A$8="4x+",$A$8="4x"),1,IF(OR($A$8="2x",$A$8="2-"),1,1)))</f>
        <v>5</v>
      </c>
      <c r="D14" s="11"/>
      <c r="E14" s="32" t="s">
        <v>65</v>
      </c>
      <c r="F14" s="11"/>
      <c r="G14" s="33">
        <v>180</v>
      </c>
      <c r="H14" s="11"/>
      <c r="I14" s="10" t="s">
        <v>25</v>
      </c>
      <c r="J14" s="11"/>
      <c r="K14" s="10" t="s">
        <v>25</v>
      </c>
      <c r="L14" s="11"/>
      <c r="M14" s="10" t="s">
        <v>59</v>
      </c>
      <c r="N14" s="11"/>
      <c r="O14" s="33">
        <v>70</v>
      </c>
      <c r="P14" s="11"/>
      <c r="Q14" s="34">
        <v>6</v>
      </c>
      <c r="R14" s="35" t="s">
        <v>16</v>
      </c>
      <c r="S14" s="36">
        <v>35</v>
      </c>
      <c r="T14" s="11">
        <f>IF($A$8="8+",(((SUM($Q$8:$Q$22)*60)+SUM($S$8:$S$22))/8),IF(OR($A$8="2x",$A$8="2-"),((SUM($Q$12:$Q$14)*60)+SUM($S$12:$S$14))/2,IF($A$8="1x",(Q14*60)+S14,((SUM($Q$8:$Q$14)*60)+SUM($S$8:$S$14))/4)))-((Q14*60)+S14)</f>
        <v>43.25</v>
      </c>
      <c r="U14" s="33">
        <v>90</v>
      </c>
      <c r="V14" s="37">
        <f>U14-IF($A$8="8+",SUM($O$8:$O$22)/8,IF(OR($A$8="4x",$A$8="4-",$A$8="4+",$A$8="4x+"),SUM($O$8:$O$14)/4,IF(OR($A$8="2-",$A$8="2x"),SUM(O12:O14)/2,O14)))</f>
        <v>14.625</v>
      </c>
      <c r="W14" s="12" t="s">
        <v>32</v>
      </c>
      <c r="X14" s="11"/>
      <c r="Y14" s="10" t="s">
        <v>96</v>
      </c>
      <c r="Z14" s="11"/>
      <c r="AA14" s="10" t="s">
        <v>93</v>
      </c>
      <c r="AB14" s="11"/>
      <c r="AC14" s="10" t="s">
        <v>0</v>
      </c>
      <c r="AD14" s="11"/>
      <c r="AE14" s="93">
        <v>3.7</v>
      </c>
      <c r="AF14" s="17"/>
      <c r="AG14" s="93">
        <v>80</v>
      </c>
      <c r="AH14" s="17"/>
      <c r="AI14" s="93">
        <v>163</v>
      </c>
      <c r="AJ14" s="11"/>
      <c r="AK14" s="90">
        <f>IF(OR($A$8="1x",$A$8="2x",$A$8="4x",$A$8="4x+"),(G14/10)-1,(G14/10))+VLOOKUP(W14,CO14:CP16,2)+IF(I14="Small",-0.64,0)+IF(K14="Large",0.64,0)+IF(V14&gt;0,-V14/$CP$20,IF(V14&lt;0,V14/$CP$19,0))</f>
        <v>17.204298150163222</v>
      </c>
      <c r="AL14" s="11"/>
      <c r="AM14" s="38">
        <f>IF($A$8='Draft 10'!$CE$9,VLOOKUP(G14,Chart,10),IF($A$8='Draft 10'!$CE$11,VLOOKUP(G14,Chart,10),IF($A$8='Draft 10'!$CE$13,VLOOKUP(G14,Chart,10),IF($A$8='Draft 10'!$CE$15,VLOOKUP(G14,Chart,10),VLOOKUP(G14,Chart,11)))))</f>
        <v>30.5</v>
      </c>
      <c r="AN14" s="11">
        <f>IF($A$8='Draft 10'!$CE$9,VLOOKUP(G14,Chart,8),IF($A$8='Draft 10'!$CE$11,VLOOKUP(G14,Chart,6),IF($A$8='Draft 10'!$CE$13,VLOOKUP(G14,Chart,4),IF($A$8='Draft 10'!$CE$15,VLOOKUP(G14,Chart,2),VLOOKUP(G14,Chart,16)))))-IF($A$8='Draft 10'!$CE$8,2,IF($A$8='Draft 10'!$CE$10,1.4,IF($A$8='Draft 10'!$CE$12,1,0)))</f>
        <v>82.4999999999999</v>
      </c>
      <c r="AO14" s="38">
        <f>IF(AN14&lt;AG14,AG14,IF(AN14&gt;AI14,AI14,AN14))</f>
        <v>82.4999999999999</v>
      </c>
      <c r="AP14" s="11">
        <f>(VLOOKUP(G14,$BM$8:$CC$48,17)-(Q14*60+S14))/$CX$32*$CY$32</f>
        <v>0.7333333333333333</v>
      </c>
      <c r="AQ14" s="38">
        <f>IF($A$8='Draft 10'!$CE$9,VLOOKUP(G14,Chart,7),(IF($A$8='Draft 10'!$CE$13,VLOOKUP(G14,Chart,5),(IF($A$8='Draft 10'!$CE$15,VLOOKUP(G14,Chart,3),VLOOKUP(G14,Chart,13))))))+VLOOKUP(AC14,BladeType,2)+VLOOKUP(Y14,$CX$24:$CY$26,2)+IF(AA14=$DA$24,$DB$24,IF(AA14=$DA$26,$DB$26,$DB$25))+AP14+(T14/$CQ$33*$CQ$32)+AR14</f>
        <v>374.14583333333337</v>
      </c>
      <c r="AR14" s="11">
        <f>IF(AO14=AN14,0,IF(AO14=AG14,(AG14-AN14)*$AS$37,IF(AO14=AI14,(AI14-AN14)*$AS$37)))*IF($A$8=$CE$9,0.5,IF($A$8=$CE$11,0.5,IF($A$8=$CE$13,0.5,IF($A$8=$CE$15,2,1))))</f>
        <v>0</v>
      </c>
      <c r="AS14" s="90">
        <f>IF($A$8='Draft 10'!$CE$8,(AO14-(AE14/2)+AM14),IF($A$8='Draft 10'!$CE$10,(AO14-(AE14/2)+AM14),IF($A$8='Draft 10'!$CE$12,(AO14-(AE14/2)+AM14),IF($A$8='Draft 10'!$CE$14,(AO14-(AE14/2)+AM14),(AO14/2-(AE14/2)+AM14/2)))))</f>
        <v>111.1499999999999</v>
      </c>
      <c r="AT14" s="11"/>
      <c r="AU14" s="38" t="str">
        <f>IF(M14=$CO$38,VLOOKUP($CO$38,$CO$38:$CP$40,2),IF(M14=$CO$39,VLOOKUP($CO$39,$CO$38:$CP$40,2),IF(M14=$CO$40,VLOOKUP($CO$40,$CO$40:$CP$40,2),$CP$39)))</f>
        <v>40 - 42</v>
      </c>
      <c r="AV14" s="30">
        <f t="shared" si="3"/>
        <v>58</v>
      </c>
      <c r="AW14" s="39">
        <f t="shared" si="1"/>
        <v>16.75</v>
      </c>
      <c r="AX14" s="30"/>
      <c r="AY14" s="38">
        <f>VLOOKUP($A$8,$CE$23:$CF$30,2)+6-(AV14/30+1)</f>
        <v>11.066666666666666</v>
      </c>
      <c r="AZ14" s="30"/>
      <c r="BA14" s="39">
        <f>VLOOKUP(E14,$CU$24:$CW$26,3)</f>
        <v>4</v>
      </c>
      <c r="BB14" s="30"/>
      <c r="BC14" s="39">
        <v>0</v>
      </c>
      <c r="BD14" s="30"/>
      <c r="BE14" s="39" t="str">
        <f>IF(AV14&lt;$BA$33,$BE$33,IF(AV14&lt;$BA$34,$BE$34,IF(AV14&lt;$BA$35,$BE$35,IF(AV14&lt;$BA$36,$BE$36,IF(AV14&lt;$BA$37,$BE$37,$BE$38)))))</f>
        <v>S</v>
      </c>
      <c r="BF14" s="30">
        <f t="shared" si="2"/>
        <v>6.399999999999977</v>
      </c>
      <c r="BG14" s="39" t="str">
        <f>IF(AV14-$DC$12&lt;$BC$33,$BE$33,IF(AV14-$DC$12&lt;$BC$34,$BE$34,IF(AV14-$DC$12&lt;$BC$35,$BE$35,IF(AV14-$DC$12&lt;$BC$36,$BE$36,IF(AV14-$DC$12&lt;$BC$37,$BE$37,$BE$38)))))</f>
        <v>Int</v>
      </c>
      <c r="BH14" s="30"/>
      <c r="BI14" s="40">
        <f>INT(((Q14*60+S14)*HLOOKUP($A$8,$CV$18:$DC$21,4))/60)</f>
        <v>6</v>
      </c>
      <c r="BJ14" s="41" t="s">
        <v>16</v>
      </c>
      <c r="BK14" s="42">
        <f>(Q14*60+S14)*HLOOKUP($A$8,$CV$18:$DC$21,4)-BI14*60</f>
        <v>14.898367952522278</v>
      </c>
      <c r="BL14" s="89"/>
      <c r="BM14" s="64">
        <v>161</v>
      </c>
      <c r="BN14" s="65">
        <v>153.2</v>
      </c>
      <c r="BO14" s="65">
        <v>281.5</v>
      </c>
      <c r="BP14" s="65">
        <v>152.2</v>
      </c>
      <c r="BQ14" s="65">
        <v>282.5</v>
      </c>
      <c r="BR14" s="65">
        <v>151.95</v>
      </c>
      <c r="BS14" s="65">
        <v>283</v>
      </c>
      <c r="BT14" s="65">
        <v>151.7</v>
      </c>
      <c r="BU14" s="65">
        <v>283.5</v>
      </c>
      <c r="BV14" s="65">
        <v>18.6</v>
      </c>
      <c r="BW14" s="65">
        <v>28.6</v>
      </c>
      <c r="BX14" s="65">
        <v>80.6</v>
      </c>
      <c r="BY14" s="65">
        <v>366.5</v>
      </c>
      <c r="BZ14" s="65">
        <v>81.2</v>
      </c>
      <c r="CA14" s="65">
        <v>81.6</v>
      </c>
      <c r="CB14" s="65">
        <v>82.6</v>
      </c>
      <c r="CC14" s="66">
        <f t="shared" si="0"/>
        <v>474</v>
      </c>
      <c r="CD14" s="66">
        <v>13.9</v>
      </c>
      <c r="CE14" s="67" t="s">
        <v>10</v>
      </c>
      <c r="CF14" s="67"/>
      <c r="CG14" s="67">
        <v>61</v>
      </c>
      <c r="CH14" s="72"/>
      <c r="CI14" s="72"/>
      <c r="CJ14" s="69">
        <v>1.6</v>
      </c>
      <c r="CK14" s="67"/>
      <c r="CL14" s="67">
        <v>6</v>
      </c>
      <c r="CM14" s="68">
        <v>65</v>
      </c>
      <c r="CN14" s="68"/>
      <c r="CO14" s="67" t="s">
        <v>75</v>
      </c>
      <c r="CP14" s="67">
        <v>0.32</v>
      </c>
      <c r="CQ14" s="68"/>
      <c r="CR14" s="67" t="s">
        <v>32</v>
      </c>
      <c r="CS14" s="68"/>
      <c r="CT14" s="68"/>
      <c r="CU14" s="82"/>
      <c r="CV14" s="71"/>
      <c r="CW14" s="71"/>
      <c r="CX14" s="71"/>
      <c r="CY14" s="71"/>
      <c r="CZ14" s="72"/>
      <c r="DA14" s="72"/>
      <c r="DB14" s="72"/>
      <c r="DC14" s="72"/>
      <c r="DD14" s="68"/>
      <c r="DE14" s="91">
        <v>82</v>
      </c>
    </row>
    <row r="15" spans="1:109" s="6" customFormat="1" ht="12.75">
      <c r="A15" s="18"/>
      <c r="B15" s="43"/>
      <c r="C15" s="18"/>
      <c r="D15" s="18"/>
      <c r="E15" s="44"/>
      <c r="F15" s="18"/>
      <c r="G15" s="17"/>
      <c r="H15" s="18"/>
      <c r="I15" s="17"/>
      <c r="J15" s="18"/>
      <c r="K15" s="17"/>
      <c r="L15" s="18"/>
      <c r="M15" s="17"/>
      <c r="N15" s="18"/>
      <c r="O15" s="17"/>
      <c r="P15" s="18"/>
      <c r="Q15" s="17"/>
      <c r="R15" s="45"/>
      <c r="S15" s="17"/>
      <c r="T15" s="18"/>
      <c r="U15" s="46"/>
      <c r="V15" s="18"/>
      <c r="W15" s="19"/>
      <c r="X15" s="18"/>
      <c r="Y15" s="17"/>
      <c r="Z15" s="18"/>
      <c r="AA15" s="17"/>
      <c r="AB15" s="18"/>
      <c r="AC15" s="17"/>
      <c r="AD15" s="18"/>
      <c r="AE15" s="17"/>
      <c r="AF15" s="17"/>
      <c r="AG15" s="17"/>
      <c r="AH15" s="17"/>
      <c r="AI15" s="17"/>
      <c r="AJ15" s="18"/>
      <c r="AK15" s="18"/>
      <c r="AL15" s="18"/>
      <c r="AM15" s="18"/>
      <c r="AN15" s="18"/>
      <c r="AO15" s="18"/>
      <c r="AP15" s="18"/>
      <c r="AQ15" s="18"/>
      <c r="AR15" s="11"/>
      <c r="AS15" s="18"/>
      <c r="AT15" s="18"/>
      <c r="AU15" s="18"/>
      <c r="AV15" s="43"/>
      <c r="AW15" s="30"/>
      <c r="AX15" s="43"/>
      <c r="AY15" s="18"/>
      <c r="AZ15" s="43"/>
      <c r="BA15" s="43"/>
      <c r="BB15" s="43"/>
      <c r="BC15" s="43"/>
      <c r="BD15" s="43"/>
      <c r="BE15" s="43"/>
      <c r="BF15" s="43"/>
      <c r="BG15" s="43"/>
      <c r="BH15" s="43"/>
      <c r="BI15" s="47"/>
      <c r="BJ15" s="43"/>
      <c r="BK15" s="47"/>
      <c r="BL15" s="47"/>
      <c r="BM15" s="73">
        <v>162</v>
      </c>
      <c r="BN15" s="74">
        <v>153.4</v>
      </c>
      <c r="BO15" s="74">
        <v>281.75</v>
      </c>
      <c r="BP15" s="74">
        <v>152.4</v>
      </c>
      <c r="BQ15" s="74">
        <v>282.75</v>
      </c>
      <c r="BR15" s="74">
        <v>152.15</v>
      </c>
      <c r="BS15" s="74">
        <v>283.25</v>
      </c>
      <c r="BT15" s="74">
        <v>151.9</v>
      </c>
      <c r="BU15" s="74">
        <v>283.75</v>
      </c>
      <c r="BV15" s="74">
        <v>18.7</v>
      </c>
      <c r="BW15" s="74">
        <v>28.7</v>
      </c>
      <c r="BX15" s="74">
        <v>80.7</v>
      </c>
      <c r="BY15" s="74">
        <v>366.75</v>
      </c>
      <c r="BZ15" s="74">
        <v>81.3000000000001</v>
      </c>
      <c r="CA15" s="74">
        <v>81.7</v>
      </c>
      <c r="CB15" s="74">
        <v>82.7</v>
      </c>
      <c r="CC15" s="75">
        <f t="shared" si="0"/>
        <v>471</v>
      </c>
      <c r="CD15" s="75">
        <v>14.05</v>
      </c>
      <c r="CE15" s="71" t="s">
        <v>6</v>
      </c>
      <c r="CF15" s="71"/>
      <c r="CG15" s="71">
        <v>62</v>
      </c>
      <c r="CH15" s="68"/>
      <c r="CI15" s="68"/>
      <c r="CJ15" s="76">
        <v>1.7</v>
      </c>
      <c r="CK15" s="71"/>
      <c r="CL15" s="71">
        <v>7</v>
      </c>
      <c r="CM15" s="72">
        <v>66</v>
      </c>
      <c r="CN15" s="72"/>
      <c r="CO15" s="72" t="s">
        <v>32</v>
      </c>
      <c r="CP15" s="72">
        <v>0</v>
      </c>
      <c r="CQ15" s="72"/>
      <c r="CR15" s="72" t="s">
        <v>75</v>
      </c>
      <c r="CS15" s="72"/>
      <c r="CT15" s="72"/>
      <c r="CU15" s="72"/>
      <c r="CV15" s="72"/>
      <c r="CW15" s="72"/>
      <c r="CX15" s="72"/>
      <c r="CY15" s="72"/>
      <c r="CZ15" s="72"/>
      <c r="DA15" s="72"/>
      <c r="DB15" s="72"/>
      <c r="DC15" s="72"/>
      <c r="DD15" s="72"/>
      <c r="DE15" s="92">
        <v>82.5</v>
      </c>
    </row>
    <row r="16" spans="1:109" s="2" customFormat="1" ht="12.75">
      <c r="A16" s="11"/>
      <c r="B16" s="30"/>
      <c r="C16" s="31">
        <f>IF($A$8="8+",4,IF(OR($A$8="4-",$A$8="4+",$A$8="4x+",$A$8="4x"),4,IF(OR($A$8="2x",$A$8="2-"),2,1)))</f>
        <v>4</v>
      </c>
      <c r="D16" s="11"/>
      <c r="E16" s="32" t="s">
        <v>86</v>
      </c>
      <c r="F16" s="11"/>
      <c r="G16" s="33">
        <v>164</v>
      </c>
      <c r="H16" s="11"/>
      <c r="I16" s="10" t="s">
        <v>25</v>
      </c>
      <c r="J16" s="11"/>
      <c r="K16" s="10" t="s">
        <v>25</v>
      </c>
      <c r="L16" s="11"/>
      <c r="M16" s="10" t="s">
        <v>59</v>
      </c>
      <c r="N16" s="11"/>
      <c r="O16" s="33">
        <v>70</v>
      </c>
      <c r="P16" s="11"/>
      <c r="Q16" s="34">
        <v>8</v>
      </c>
      <c r="R16" s="35" t="s">
        <v>16</v>
      </c>
      <c r="S16" s="36">
        <v>16</v>
      </c>
      <c r="T16" s="11">
        <f>IF($A$8="8+",(((SUM($Q$8:$Q$22)*60)+SUM($S$8:$S$22))/8),IF(OR($A$8="2x",$A$8="2-"),((SUM($Q$16:$Q$18)*60)+SUM($S$16:$S$18))/2,IF($A$8="1x",(Q16*60)+S16,((SUM($Q$16:$Q$22)*60)+SUM($S$16:$S$22))/4)))-((Q16*60)+S16)</f>
        <v>-57.75</v>
      </c>
      <c r="U16" s="33">
        <v>70</v>
      </c>
      <c r="V16" s="37">
        <f>U16-IF($A$8="8+",SUM($O$8:$O$22)/8,IF(OR($A$8="4x",$A$8="4-",$A$8="4+",$A$8="4x+"),SUM($O$16:$O$22)/4,IF(OR($A$8="2-",$A$8="2x"),SUM(O16:O18)/2,O16)))</f>
        <v>-5.375</v>
      </c>
      <c r="W16" s="12" t="s">
        <v>32</v>
      </c>
      <c r="X16" s="11"/>
      <c r="Y16" s="10" t="s">
        <v>96</v>
      </c>
      <c r="Z16" s="11"/>
      <c r="AA16" s="10" t="s">
        <v>93</v>
      </c>
      <c r="AB16" s="11"/>
      <c r="AC16" s="10" t="s">
        <v>0</v>
      </c>
      <c r="AD16" s="11"/>
      <c r="AE16" s="93">
        <v>3.7</v>
      </c>
      <c r="AF16" s="17"/>
      <c r="AG16" s="93">
        <v>80</v>
      </c>
      <c r="AH16" s="17"/>
      <c r="AI16" s="93">
        <v>163</v>
      </c>
      <c r="AJ16" s="11"/>
      <c r="AK16" s="90">
        <f>IF(OR($A$8="1x",$A$8="2x",$A$8="4x",$A$8="4x+"),(G16/10)-1,(G16/10))+VLOOKUP(W16,CO14:CP16,2)+IF(I16="Small",-0.64,0)+IF(K16="Large",0.64,0)+IF(V16&gt;0,-V16/$CP$20,IF(V16&lt;0,V16/$CP$19,0))</f>
        <v>15.969999999999999</v>
      </c>
      <c r="AL16" s="11"/>
      <c r="AM16" s="38">
        <f>IF($A$8='Draft 10'!$CE$9,VLOOKUP(G16,Chart,10),IF($A$8='Draft 10'!$CE$11,VLOOKUP(G16,Chart,10),IF($A$8='Draft 10'!$CE$13,VLOOKUP(G16,Chart,10),IF($A$8='Draft 10'!$CE$15,VLOOKUP(G16,Chart,10),VLOOKUP(G16,Chart,11)))))</f>
        <v>28.9</v>
      </c>
      <c r="AN16" s="11">
        <f>IF($A$8='Draft 10'!$CE$9,VLOOKUP(G16,Chart,8),IF($A$8='Draft 10'!$CE$11,VLOOKUP(G16,Chart,6),IF($A$8='Draft 10'!$CE$13,VLOOKUP(G16,Chart,4),IF($A$8='Draft 10'!$CE$15,VLOOKUP(G16,Chart,2),VLOOKUP(G16,Chart,16)))))-IF($A$8='Draft 10'!$CE$8,2,IF($A$8='Draft 10'!$CE$10,1.4,IF($A$8='Draft 10'!$CE$12,1,0)))</f>
        <v>80.8999999999999</v>
      </c>
      <c r="AO16" s="38">
        <f>IF(AN16&lt;AG16,AG16,IF(AN16&gt;AI16,AI16,AN16))</f>
        <v>80.8999999999999</v>
      </c>
      <c r="AP16" s="11">
        <f>(VLOOKUP(G16,$BM$8:$CC$48,17)-(Q16*60+S16))/$CX$32*$CY$32</f>
        <v>-1.0333333333333334</v>
      </c>
      <c r="AQ16" s="38">
        <f>IF($A$8='Draft 10'!$CE$9,VLOOKUP(G16,Chart,7),(IF($A$8='Draft 10'!$CE$13,VLOOKUP(G16,Chart,5),(IF($A$8='Draft 10'!$CE$15,VLOOKUP(G16,Chart,3),VLOOKUP(G16,Chart,13))))))+VLOOKUP(AC16,BladeType,2)+VLOOKUP(Y16,$CX$24:$CY$26,2)+IF(AA16=$DA$24,$DB$24,IF(AA16=$DA$26,$DB$26,$DB$25))+AP16+(T16/$CQ$33*$CQ$32)+AR16</f>
        <v>363.32916666666665</v>
      </c>
      <c r="AR16" s="11">
        <f>IF(AO16=AN16,0,IF(AO16=AG16,(AG16-AN16)*$AS$37,IF(AO16=AI16,(AI16-AN16)*$AS$37)))*IF($A$8=$CE$9,0.5,IF($A$8=$CE$11,0.5,IF($A$8=$CE$13,0.5,IF($A$8=$CE$15,2,1))))</f>
        <v>0</v>
      </c>
      <c r="AS16" s="90">
        <f>IF($A$8='Draft 10'!$CE$8,(AO16-(AE16/2)+AM16),IF($A$8='Draft 10'!$CE$10,(AO16-(AE16/2)+AM16),IF($A$8='Draft 10'!$CE$12,(AO16-(AE16/2)+AM16),IF($A$8='Draft 10'!$CE$14,(AO16-(AE16/2)+AM16),(AO16/2-(AE16/2)+AM16/2)))))</f>
        <v>107.9499999999999</v>
      </c>
      <c r="AT16" s="11"/>
      <c r="AU16" s="38" t="str">
        <f>IF(M16=$CO$38,VLOOKUP($CO$38,$CO$38:$CP$40,2),IF(M16=$CO$39,VLOOKUP($CO$39,$CO$38:$CP$40,2),IF(M16=$CO$40,VLOOKUP($CO$40,$CO$40:$CP$40,2),$CP$39)))</f>
        <v>40 - 42</v>
      </c>
      <c r="AV16" s="30">
        <f t="shared" si="3"/>
        <v>159</v>
      </c>
      <c r="AW16" s="39">
        <f t="shared" si="1"/>
        <v>14.35</v>
      </c>
      <c r="AX16" s="30"/>
      <c r="AY16" s="38">
        <f>VLOOKUP($A$8,$CE$23:$CF$30,2)+6-(AV16/30+1)</f>
        <v>7.7</v>
      </c>
      <c r="AZ16" s="30"/>
      <c r="BA16" s="39">
        <f>VLOOKUP(E16,$CU$24:$CW$26,3)</f>
        <v>5</v>
      </c>
      <c r="BB16" s="30"/>
      <c r="BC16" s="39">
        <v>0</v>
      </c>
      <c r="BD16" s="30"/>
      <c r="BE16" s="39" t="str">
        <f>IF(AV16&lt;$BA$33,$BE$33,IF(AV16&lt;$BA$34,$BE$34,IF(AV16&lt;$BA$35,$BE$35,IF(AV16&lt;$BA$36,$BE$36,IF(AV16&lt;$BA$37,$BE$37,$BE$38)))))</f>
        <v>IM3/N</v>
      </c>
      <c r="BF16" s="30">
        <f t="shared" si="2"/>
        <v>107.39999999999998</v>
      </c>
      <c r="BG16" s="39" t="str">
        <f>IF(AV16-$DC$12&lt;$BC$33,$BE$33,IF(AV16-$DC$12&lt;$BC$34,$BE$34,IF(AV16-$DC$12&lt;$BC$35,$BE$35,IF(AV16-$DC$12&lt;$BC$36,$BE$36,IF(AV16-$DC$12&lt;$BC$37,$BE$37,$BE$38)))))</f>
        <v>IM3/N</v>
      </c>
      <c r="BH16" s="30"/>
      <c r="BI16" s="40">
        <f>INT(((Q16*60+S16)*HLOOKUP($A$8,$CV$18:$DC$21,4))/60)</f>
        <v>7</v>
      </c>
      <c r="BJ16" s="41" t="s">
        <v>16</v>
      </c>
      <c r="BK16" s="42">
        <f>(Q16*60+S16)*HLOOKUP($A$8,$CV$18:$DC$21,4)-BI16*60</f>
        <v>50.758456973293846</v>
      </c>
      <c r="BL16" s="89"/>
      <c r="BM16" s="64">
        <v>163</v>
      </c>
      <c r="BN16" s="65">
        <v>153.6</v>
      </c>
      <c r="BO16" s="65">
        <v>282</v>
      </c>
      <c r="BP16" s="65">
        <v>152.6</v>
      </c>
      <c r="BQ16" s="65">
        <v>283</v>
      </c>
      <c r="BR16" s="65">
        <v>152.35</v>
      </c>
      <c r="BS16" s="65">
        <v>283.5</v>
      </c>
      <c r="BT16" s="65">
        <v>152.1</v>
      </c>
      <c r="BU16" s="65">
        <v>284</v>
      </c>
      <c r="BV16" s="65">
        <v>18.8</v>
      </c>
      <c r="BW16" s="65">
        <v>28.8</v>
      </c>
      <c r="BX16" s="65">
        <v>80.8</v>
      </c>
      <c r="BY16" s="65">
        <v>367</v>
      </c>
      <c r="BZ16" s="65">
        <v>81.4000000000001</v>
      </c>
      <c r="CA16" s="65">
        <v>81.8</v>
      </c>
      <c r="CB16" s="65">
        <v>82.8</v>
      </c>
      <c r="CC16" s="66">
        <f t="shared" si="0"/>
        <v>468</v>
      </c>
      <c r="CD16" s="66">
        <v>14.2</v>
      </c>
      <c r="CE16" s="67"/>
      <c r="CF16" s="67"/>
      <c r="CG16" s="67">
        <v>63</v>
      </c>
      <c r="CH16" s="71"/>
      <c r="CI16" s="78"/>
      <c r="CJ16" s="69">
        <v>1.8</v>
      </c>
      <c r="CK16" s="67"/>
      <c r="CL16" s="67">
        <v>8</v>
      </c>
      <c r="CM16" s="68">
        <v>67</v>
      </c>
      <c r="CN16" s="68"/>
      <c r="CO16" s="67" t="s">
        <v>31</v>
      </c>
      <c r="CP16" s="67">
        <v>0.64</v>
      </c>
      <c r="CQ16" s="68"/>
      <c r="CR16" s="67" t="s">
        <v>31</v>
      </c>
      <c r="CS16" s="68"/>
      <c r="CT16" s="68"/>
      <c r="CU16" s="72"/>
      <c r="CV16" s="72"/>
      <c r="CW16" s="72"/>
      <c r="CX16" s="72"/>
      <c r="CY16" s="72"/>
      <c r="CZ16" s="72"/>
      <c r="DA16" s="72"/>
      <c r="DB16" s="72"/>
      <c r="DC16" s="72"/>
      <c r="DD16" s="68"/>
      <c r="DE16" s="91">
        <v>83</v>
      </c>
    </row>
    <row r="17" spans="1:109" s="6" customFormat="1" ht="12.75">
      <c r="A17" s="18"/>
      <c r="B17" s="43"/>
      <c r="C17" s="18"/>
      <c r="D17" s="18"/>
      <c r="E17" s="44"/>
      <c r="F17" s="18"/>
      <c r="G17" s="17"/>
      <c r="H17" s="18"/>
      <c r="I17" s="17"/>
      <c r="J17" s="18"/>
      <c r="K17" s="17"/>
      <c r="L17" s="18"/>
      <c r="M17" s="17"/>
      <c r="N17" s="18"/>
      <c r="O17" s="17"/>
      <c r="P17" s="18"/>
      <c r="Q17" s="17"/>
      <c r="R17" s="45"/>
      <c r="S17" s="17"/>
      <c r="T17" s="18"/>
      <c r="U17" s="46"/>
      <c r="V17" s="18"/>
      <c r="W17" s="19"/>
      <c r="X17" s="18"/>
      <c r="Y17" s="17"/>
      <c r="Z17" s="18"/>
      <c r="AA17" s="17"/>
      <c r="AB17" s="18"/>
      <c r="AC17" s="17"/>
      <c r="AD17" s="18"/>
      <c r="AE17" s="17"/>
      <c r="AF17" s="17"/>
      <c r="AG17" s="17"/>
      <c r="AH17" s="17"/>
      <c r="AI17" s="17"/>
      <c r="AJ17" s="18"/>
      <c r="AK17" s="18"/>
      <c r="AL17" s="18"/>
      <c r="AM17" s="18"/>
      <c r="AN17" s="18"/>
      <c r="AO17" s="18"/>
      <c r="AP17" s="18"/>
      <c r="AQ17" s="18"/>
      <c r="AR17" s="11"/>
      <c r="AS17" s="18"/>
      <c r="AT17" s="18"/>
      <c r="AU17" s="18"/>
      <c r="AV17" s="43"/>
      <c r="AW17" s="30"/>
      <c r="AX17" s="43"/>
      <c r="AY17" s="18"/>
      <c r="AZ17" s="43"/>
      <c r="BA17" s="43"/>
      <c r="BB17" s="43"/>
      <c r="BC17" s="43"/>
      <c r="BD17" s="43"/>
      <c r="BE17" s="43"/>
      <c r="BF17" s="43"/>
      <c r="BG17" s="43"/>
      <c r="BH17" s="43"/>
      <c r="BI17" s="47"/>
      <c r="BJ17" s="43"/>
      <c r="BK17" s="47"/>
      <c r="BL17" s="47"/>
      <c r="BM17" s="73">
        <v>164</v>
      </c>
      <c r="BN17" s="74">
        <v>153.8</v>
      </c>
      <c r="BO17" s="74">
        <v>282.25</v>
      </c>
      <c r="BP17" s="74">
        <v>152.8</v>
      </c>
      <c r="BQ17" s="74">
        <v>283.25</v>
      </c>
      <c r="BR17" s="74">
        <v>152.55</v>
      </c>
      <c r="BS17" s="74">
        <v>283.75</v>
      </c>
      <c r="BT17" s="74">
        <v>152.3</v>
      </c>
      <c r="BU17" s="74">
        <v>284.25</v>
      </c>
      <c r="BV17" s="74">
        <v>18.9</v>
      </c>
      <c r="BW17" s="74">
        <v>28.9</v>
      </c>
      <c r="BX17" s="74">
        <v>80.8999999999999</v>
      </c>
      <c r="BY17" s="74">
        <v>367.25</v>
      </c>
      <c r="BZ17" s="74">
        <v>81.5000000000001</v>
      </c>
      <c r="CA17" s="74">
        <v>81.8999999999999</v>
      </c>
      <c r="CB17" s="74">
        <v>82.8999999999999</v>
      </c>
      <c r="CC17" s="75">
        <f t="shared" si="0"/>
        <v>465</v>
      </c>
      <c r="CD17" s="75">
        <v>14.35</v>
      </c>
      <c r="CE17" s="71"/>
      <c r="CF17" s="104" t="s">
        <v>62</v>
      </c>
      <c r="CG17" s="71">
        <v>64</v>
      </c>
      <c r="CH17" s="71"/>
      <c r="CI17" s="71"/>
      <c r="CJ17" s="76">
        <v>1.9</v>
      </c>
      <c r="CK17" s="71"/>
      <c r="CL17" s="71">
        <v>9</v>
      </c>
      <c r="CM17" s="72">
        <v>68</v>
      </c>
      <c r="CN17" s="72"/>
      <c r="CO17" s="83" t="s">
        <v>51</v>
      </c>
      <c r="CP17" s="72"/>
      <c r="CQ17" s="72"/>
      <c r="CR17" s="72"/>
      <c r="CS17" s="72"/>
      <c r="CT17" s="72"/>
      <c r="CU17" s="62"/>
      <c r="CV17" s="72"/>
      <c r="CW17" s="72"/>
      <c r="CX17" s="72"/>
      <c r="CY17" s="72"/>
      <c r="CZ17" s="72"/>
      <c r="DA17" s="72"/>
      <c r="DB17" s="72"/>
      <c r="DC17" s="72"/>
      <c r="DD17" s="72"/>
      <c r="DE17" s="92">
        <v>83.5</v>
      </c>
    </row>
    <row r="18" spans="1:109" s="2" customFormat="1" ht="12.75">
      <c r="A18" s="30"/>
      <c r="B18" s="30"/>
      <c r="C18" s="31">
        <f>IF($A$8="8+",3,IF(OR($A$8="4-",$A$8="4+",$A$8="4x+",$A$8="4x"),3,IF(OR($A$8="2x",$A$8="2-"),1,1)))</f>
        <v>3</v>
      </c>
      <c r="D18" s="11"/>
      <c r="E18" s="32" t="s">
        <v>86</v>
      </c>
      <c r="F18" s="11"/>
      <c r="G18" s="33">
        <v>164</v>
      </c>
      <c r="H18" s="11"/>
      <c r="I18" s="10" t="s">
        <v>25</v>
      </c>
      <c r="J18" s="11"/>
      <c r="K18" s="10" t="s">
        <v>25</v>
      </c>
      <c r="L18" s="11"/>
      <c r="M18" s="10" t="s">
        <v>59</v>
      </c>
      <c r="N18" s="11"/>
      <c r="O18" s="33">
        <v>60</v>
      </c>
      <c r="P18" s="11"/>
      <c r="Q18" s="34">
        <v>8</v>
      </c>
      <c r="R18" s="35" t="s">
        <v>16</v>
      </c>
      <c r="S18" s="36">
        <v>16</v>
      </c>
      <c r="T18" s="11">
        <f>IF($A$8="8+",(((SUM($Q$8:$Q$22)*60)+SUM($S$8:$S$22))/8),IF(OR($A$8="2x",$A$8="2-"),((SUM($Q$16:$Q$18)*60)+SUM($S$16:$S$18))/2,IF($A$8="1x",(Q18*60)+S18,((SUM($Q$16:$Q$22)*60)+SUM($S$16:$S$22))/4)))-((Q18*60)+S18)</f>
        <v>-57.75</v>
      </c>
      <c r="U18" s="33">
        <v>70</v>
      </c>
      <c r="V18" s="37">
        <f>U18-IF($A$8="8+",SUM($O$8:$O$22)/8,IF(OR($A$8="4x",$A$8="4-",$A$8="4+",$A$8="4x+"),SUM($O$16:$O$22)/4,IF(OR($A$8="2-",$A$8="2x"),SUM(O16:O18)/2,O18)))</f>
        <v>-5.375</v>
      </c>
      <c r="W18" s="12" t="s">
        <v>32</v>
      </c>
      <c r="X18" s="11"/>
      <c r="Y18" s="10" t="s">
        <v>96</v>
      </c>
      <c r="Z18" s="11"/>
      <c r="AA18" s="10" t="s">
        <v>93</v>
      </c>
      <c r="AB18" s="11"/>
      <c r="AC18" s="10" t="s">
        <v>0</v>
      </c>
      <c r="AD18" s="11"/>
      <c r="AE18" s="93">
        <v>3.7</v>
      </c>
      <c r="AF18" s="17"/>
      <c r="AG18" s="93">
        <v>80</v>
      </c>
      <c r="AH18" s="17"/>
      <c r="AI18" s="93">
        <v>163</v>
      </c>
      <c r="AJ18" s="11"/>
      <c r="AK18" s="90">
        <f>IF(OR($A$8="1x",$A$8="2x",$A$8="4x",$A$8="4x+"),(G18/10)-1,(G18/10))+VLOOKUP(W18,CO14:CP16,2)+IF(I18="Small",-0.64,0)+IF(K18="Large",0.64,0)+IF(V18&gt;0,-V18/$CP$20,IF(V18&lt;0,V18/$CP$19,0))</f>
        <v>15.969999999999999</v>
      </c>
      <c r="AL18" s="11"/>
      <c r="AM18" s="38">
        <f>IF($A$8='Draft 10'!$CE$9,VLOOKUP(G18,Chart,10),IF($A$8='Draft 10'!$CE$11,VLOOKUP(G18,Chart,10),IF($A$8='Draft 10'!$CE$13,VLOOKUP(G18,Chart,10),IF($A$8='Draft 10'!$CE$15,VLOOKUP(G18,Chart,10),VLOOKUP(G18,Chart,11)))))</f>
        <v>28.9</v>
      </c>
      <c r="AN18" s="11">
        <f>IF($A$8='Draft 10'!$CE$9,VLOOKUP(G18,Chart,8),IF($A$8='Draft 10'!$CE$11,VLOOKUP(G18,Chart,6),IF($A$8='Draft 10'!$CE$13,VLOOKUP(G18,Chart,4),IF($A$8='Draft 10'!$CE$15,VLOOKUP(G18,Chart,2),VLOOKUP(G18,Chart,16)))))-IF($A$8='Draft 10'!$CE$8,2,IF($A$8='Draft 10'!$CE$10,1.4,IF($A$8='Draft 10'!$CE$12,1,0)))</f>
        <v>80.8999999999999</v>
      </c>
      <c r="AO18" s="38">
        <f>IF(AN18&lt;AG18,AG18,IF(AN18&gt;AI18,AI18,AN18))</f>
        <v>80.8999999999999</v>
      </c>
      <c r="AP18" s="11">
        <f>(VLOOKUP(G18,$BM$8:$CC$48,17)-(Q18*60+S18))/$CX$32*$CY$32</f>
        <v>-1.0333333333333334</v>
      </c>
      <c r="AQ18" s="38">
        <f>IF($A$8='Draft 10'!$CE$9,VLOOKUP(G18,Chart,7),(IF($A$8='Draft 10'!$CE$13,VLOOKUP(G18,Chart,5),(IF($A$8='Draft 10'!$CE$15,VLOOKUP(G18,Chart,3),VLOOKUP(G18,Chart,13))))))+VLOOKUP(AC18,BladeType,2)+VLOOKUP(Y18,$CX$24:$CY$26,2)+IF(AA18=$DA$24,$DB$24,IF(AA18=$DA$26,$DB$26,$DB$25))+AP18+(T18/$CQ$33*$CQ$32)+AR18</f>
        <v>363.32916666666665</v>
      </c>
      <c r="AR18" s="11">
        <f>IF(AO18=AN18,0,IF(AO18=AG18,(AG18-AN18)*$AS$37,IF(AO18=AI18,(AI18-AN18)*$AS$37)))*IF($A$8=$CE$9,0.5,IF($A$8=$CE$11,0.5,IF($A$8=$CE$13,0.5,IF($A$8=$CE$15,2,1))))</f>
        <v>0</v>
      </c>
      <c r="AS18" s="90">
        <f>IF($A$8='Draft 10'!$CE$8,(AO18-(AE18/2)+AM18),IF($A$8='Draft 10'!$CE$10,(AO18-(AE18/2)+AM18),IF($A$8='Draft 10'!$CE$12,(AO18-(AE18/2)+AM18),IF($A$8='Draft 10'!$CE$14,(AO18-(AE18/2)+AM18),(AO18/2-(AE18/2)+AM18/2)))))</f>
        <v>107.9499999999999</v>
      </c>
      <c r="AT18" s="11"/>
      <c r="AU18" s="38" t="str">
        <f>IF(M18=$CO$38,VLOOKUP($CO$38,$CO$38:$CP$40,2),IF(M18=$CO$39,VLOOKUP($CO$39,$CO$38:$CP$40,2),IF(M18=$CO$40,VLOOKUP($CO$40,$CO$40:$CP$40,2),$CP$39)))</f>
        <v>40 - 42</v>
      </c>
      <c r="AV18" s="30">
        <f t="shared" si="3"/>
        <v>159</v>
      </c>
      <c r="AW18" s="39">
        <f t="shared" si="1"/>
        <v>14.35</v>
      </c>
      <c r="AX18" s="30"/>
      <c r="AY18" s="38">
        <f>VLOOKUP($A$8,$CE$23:$CF$30,2)+6-(AV18/30+1)</f>
        <v>7.7</v>
      </c>
      <c r="AZ18" s="30"/>
      <c r="BA18" s="39">
        <f>VLOOKUP(E18,$CU$24:$CW$26,3)</f>
        <v>5</v>
      </c>
      <c r="BB18" s="30"/>
      <c r="BC18" s="39">
        <v>0</v>
      </c>
      <c r="BD18" s="30"/>
      <c r="BE18" s="39" t="str">
        <f>IF(AV18&lt;$BA$33,$BE$33,IF(AV18&lt;$BA$34,$BE$34,IF(AV18&lt;$BA$35,$BE$35,IF(AV18&lt;$BA$36,$BE$36,IF(AV18&lt;$BA$37,$BE$37,$BE$38)))))</f>
        <v>IM3/N</v>
      </c>
      <c r="BF18" s="30">
        <f t="shared" si="2"/>
        <v>107.39999999999998</v>
      </c>
      <c r="BG18" s="39" t="str">
        <f>IF(AV18-$DC$12&lt;$BC$33,$BE$33,IF(AV18-$DC$12&lt;$BC$34,$BE$34,IF(AV18-$DC$12&lt;$BC$35,$BE$35,IF(AV18-$DC$12&lt;$BC$36,$BE$36,IF(AV18-$DC$12&lt;$BC$37,$BE$37,$BE$38)))))</f>
        <v>IM3/N</v>
      </c>
      <c r="BH18" s="30"/>
      <c r="BI18" s="40">
        <f>INT(((Q18*60+S18)*HLOOKUP($A$8,$CV$18:$DC$21,4))/60)</f>
        <v>7</v>
      </c>
      <c r="BJ18" s="41" t="s">
        <v>16</v>
      </c>
      <c r="BK18" s="42">
        <f>(Q18*60+S18)*HLOOKUP($A$8,$CV$18:$DC$21,4)-BI18*60</f>
        <v>50.758456973293846</v>
      </c>
      <c r="BL18" s="89"/>
      <c r="BM18" s="64">
        <v>165</v>
      </c>
      <c r="BN18" s="65">
        <v>154</v>
      </c>
      <c r="BO18" s="65">
        <v>282.5</v>
      </c>
      <c r="BP18" s="65">
        <v>153</v>
      </c>
      <c r="BQ18" s="65">
        <v>283.5</v>
      </c>
      <c r="BR18" s="65">
        <v>152.75</v>
      </c>
      <c r="BS18" s="65">
        <v>284</v>
      </c>
      <c r="BT18" s="65">
        <v>152.5</v>
      </c>
      <c r="BU18" s="65">
        <v>284.5</v>
      </c>
      <c r="BV18" s="65">
        <v>19</v>
      </c>
      <c r="BW18" s="65">
        <v>29</v>
      </c>
      <c r="BX18" s="65">
        <v>80.9999999999999</v>
      </c>
      <c r="BY18" s="65">
        <v>367.5</v>
      </c>
      <c r="BZ18" s="65">
        <v>81.6000000000001</v>
      </c>
      <c r="CA18" s="65">
        <v>81.9999999999999</v>
      </c>
      <c r="CB18" s="65">
        <v>82.9999999999999</v>
      </c>
      <c r="CC18" s="66">
        <f t="shared" si="0"/>
        <v>462</v>
      </c>
      <c r="CD18" s="66">
        <v>14.5</v>
      </c>
      <c r="CE18" s="67"/>
      <c r="CF18" s="105"/>
      <c r="CG18" s="67">
        <v>65</v>
      </c>
      <c r="CH18" s="67"/>
      <c r="CI18" s="67"/>
      <c r="CJ18" s="69">
        <v>2</v>
      </c>
      <c r="CK18" s="67"/>
      <c r="CL18" s="67">
        <v>10</v>
      </c>
      <c r="CM18" s="68">
        <v>69</v>
      </c>
      <c r="CN18" s="68"/>
      <c r="CO18" s="68"/>
      <c r="CP18" s="68"/>
      <c r="CQ18" s="68"/>
      <c r="CR18" s="68"/>
      <c r="CS18" s="68"/>
      <c r="CT18" s="68"/>
      <c r="CU18" s="62"/>
      <c r="CV18" s="71" t="s">
        <v>6</v>
      </c>
      <c r="CW18" s="71" t="s">
        <v>10</v>
      </c>
      <c r="CX18" s="71" t="s">
        <v>11</v>
      </c>
      <c r="CY18" s="71" t="s">
        <v>14</v>
      </c>
      <c r="CZ18" s="71" t="s">
        <v>9</v>
      </c>
      <c r="DA18" s="71" t="s">
        <v>12</v>
      </c>
      <c r="DB18" s="71" t="s">
        <v>13</v>
      </c>
      <c r="DC18" s="71" t="s">
        <v>3</v>
      </c>
      <c r="DD18" s="68"/>
      <c r="DE18" s="91">
        <v>84</v>
      </c>
    </row>
    <row r="19" spans="1:109" s="6" customFormat="1" ht="12.75">
      <c r="A19" s="43"/>
      <c r="B19" s="43"/>
      <c r="C19" s="18"/>
      <c r="D19" s="18"/>
      <c r="E19" s="44"/>
      <c r="F19" s="18"/>
      <c r="G19" s="17"/>
      <c r="H19" s="18"/>
      <c r="I19" s="17"/>
      <c r="J19" s="18"/>
      <c r="K19" s="17"/>
      <c r="L19" s="18"/>
      <c r="M19" s="17"/>
      <c r="N19" s="18"/>
      <c r="O19" s="17"/>
      <c r="P19" s="18"/>
      <c r="Q19" s="17"/>
      <c r="R19" s="45"/>
      <c r="S19" s="17"/>
      <c r="T19" s="18"/>
      <c r="U19" s="46"/>
      <c r="V19" s="18"/>
      <c r="W19" s="19"/>
      <c r="X19" s="18"/>
      <c r="Y19" s="17"/>
      <c r="Z19" s="18"/>
      <c r="AA19" s="17"/>
      <c r="AB19" s="18"/>
      <c r="AC19" s="17"/>
      <c r="AD19" s="18"/>
      <c r="AE19" s="17"/>
      <c r="AF19" s="17"/>
      <c r="AG19" s="17"/>
      <c r="AH19" s="17"/>
      <c r="AI19" s="17"/>
      <c r="AJ19" s="18"/>
      <c r="AK19" s="18"/>
      <c r="AL19" s="18"/>
      <c r="AM19" s="18"/>
      <c r="AN19" s="18"/>
      <c r="AO19" s="18"/>
      <c r="AP19" s="18"/>
      <c r="AQ19" s="18"/>
      <c r="AR19" s="11"/>
      <c r="AS19" s="18"/>
      <c r="AT19" s="18"/>
      <c r="AU19" s="18"/>
      <c r="AV19" s="43"/>
      <c r="AW19" s="30"/>
      <c r="AX19" s="43"/>
      <c r="AY19" s="18"/>
      <c r="AZ19" s="43"/>
      <c r="BA19" s="43"/>
      <c r="BB19" s="43"/>
      <c r="BC19" s="43"/>
      <c r="BD19" s="43"/>
      <c r="BE19" s="43"/>
      <c r="BF19" s="43"/>
      <c r="BG19" s="43"/>
      <c r="BH19" s="43"/>
      <c r="BI19" s="47"/>
      <c r="BJ19" s="43"/>
      <c r="BK19" s="47"/>
      <c r="BL19" s="47"/>
      <c r="BM19" s="73">
        <v>166</v>
      </c>
      <c r="BN19" s="74">
        <v>154.2</v>
      </c>
      <c r="BO19" s="74">
        <v>282.75</v>
      </c>
      <c r="BP19" s="74">
        <v>153.2</v>
      </c>
      <c r="BQ19" s="74">
        <v>283.75</v>
      </c>
      <c r="BR19" s="74">
        <v>152.95</v>
      </c>
      <c r="BS19" s="74">
        <v>284.25</v>
      </c>
      <c r="BT19" s="74">
        <v>152.7</v>
      </c>
      <c r="BU19" s="74">
        <v>284.75</v>
      </c>
      <c r="BV19" s="74">
        <v>19.1</v>
      </c>
      <c r="BW19" s="74">
        <v>29.1</v>
      </c>
      <c r="BX19" s="74">
        <v>81.0999999999999</v>
      </c>
      <c r="BY19" s="74">
        <v>367.75</v>
      </c>
      <c r="BZ19" s="74">
        <v>81.7000000000001</v>
      </c>
      <c r="CA19" s="74">
        <v>82.0999999999999</v>
      </c>
      <c r="CB19" s="74">
        <v>83.0999999999999</v>
      </c>
      <c r="CC19" s="75">
        <f t="shared" si="0"/>
        <v>459</v>
      </c>
      <c r="CD19" s="75">
        <v>14.65</v>
      </c>
      <c r="CE19" s="72"/>
      <c r="CF19" s="105"/>
      <c r="CG19" s="71">
        <v>66</v>
      </c>
      <c r="CH19" s="71"/>
      <c r="CI19" s="71"/>
      <c r="CJ19" s="76">
        <v>2.1</v>
      </c>
      <c r="CK19" s="71"/>
      <c r="CL19" s="71">
        <v>11</v>
      </c>
      <c r="CM19" s="72">
        <v>70</v>
      </c>
      <c r="CN19" s="72"/>
      <c r="CO19" s="72" t="s">
        <v>33</v>
      </c>
      <c r="CP19" s="84">
        <v>12.5</v>
      </c>
      <c r="CQ19" s="72">
        <v>1</v>
      </c>
      <c r="CR19" s="72"/>
      <c r="CS19" s="72"/>
      <c r="CT19" s="72"/>
      <c r="CU19" s="56" t="s">
        <v>70</v>
      </c>
      <c r="CV19" s="71">
        <f>CV20/$CV$20</f>
        <v>1</v>
      </c>
      <c r="CW19" s="71">
        <f aca="true" t="shared" si="4" ref="CW19:DC19">CW20/$CV$20</f>
        <v>0.9555748461715219</v>
      </c>
      <c r="CX19" s="71">
        <f t="shared" si="4"/>
        <v>0.9302984655449741</v>
      </c>
      <c r="CY19" s="71">
        <f t="shared" si="4"/>
        <v>0.8715244976638497</v>
      </c>
      <c r="CZ19" s="71">
        <f t="shared" si="4"/>
        <v>0.9164858171419816</v>
      </c>
      <c r="DA19" s="71">
        <f t="shared" si="4"/>
        <v>0.8621543646437051</v>
      </c>
      <c r="DB19" s="71">
        <f t="shared" si="4"/>
        <v>0.9063752648913626</v>
      </c>
      <c r="DC19" s="71">
        <f t="shared" si="4"/>
        <v>0.8166313478183165</v>
      </c>
      <c r="DD19" s="72"/>
      <c r="DE19" s="92">
        <v>84.5</v>
      </c>
    </row>
    <row r="20" spans="1:109" s="2" customFormat="1" ht="12.75">
      <c r="A20" s="30"/>
      <c r="B20" s="30"/>
      <c r="C20" s="31">
        <f>IF($A$8="8+",2,IF(OR($A$8="4-",$A$8="4+",$A$8="4x+",$A$8="4x"),2,IF(OR($A$8="2x",$A$8="2-"),2,1)))</f>
        <v>2</v>
      </c>
      <c r="D20" s="11"/>
      <c r="E20" s="32" t="s">
        <v>86</v>
      </c>
      <c r="F20" s="11"/>
      <c r="G20" s="33">
        <v>164</v>
      </c>
      <c r="H20" s="11"/>
      <c r="I20" s="10" t="s">
        <v>25</v>
      </c>
      <c r="J20" s="11"/>
      <c r="K20" s="10" t="s">
        <v>25</v>
      </c>
      <c r="L20" s="11"/>
      <c r="M20" s="10" t="s">
        <v>59</v>
      </c>
      <c r="N20" s="11"/>
      <c r="O20" s="33">
        <v>70</v>
      </c>
      <c r="P20" s="11"/>
      <c r="Q20" s="34">
        <v>8</v>
      </c>
      <c r="R20" s="35" t="s">
        <v>16</v>
      </c>
      <c r="S20" s="36">
        <v>16</v>
      </c>
      <c r="T20" s="11">
        <f>IF($A$8="8+",(((SUM($Q$8:$Q$22)*60)+SUM($S$8:$S$22))/8),IF(OR($A$8="2x",$A$8="2-"),((SUM($Q$20:$Q$22)*60)+SUM($S$20:$S$22))/2,IF($A$8="1x",(Q20*60)+S20,((SUM($Q$16:$Q$22)*60)+SUM($S$16:$S$22))/4)))-((Q20*60)+S20)</f>
        <v>-57.75</v>
      </c>
      <c r="U20" s="33">
        <v>70</v>
      </c>
      <c r="V20" s="37">
        <f>U20-IF($A$8="8+",SUM($O$8:$O$22)/8,IF(OR($A$8="4x",$A$8="4-",$A$8="4+",$A$8="4x+"),SUM($O$16:$O$22)/4,IF(OR($A$8="2-",$A$8="2x"),SUM(O20:O22)/2,O20)))</f>
        <v>-5.375</v>
      </c>
      <c r="W20" s="12" t="s">
        <v>32</v>
      </c>
      <c r="X20" s="11"/>
      <c r="Y20" s="10" t="s">
        <v>96</v>
      </c>
      <c r="Z20" s="11"/>
      <c r="AA20" s="10" t="s">
        <v>93</v>
      </c>
      <c r="AB20" s="11"/>
      <c r="AC20" s="10" t="s">
        <v>0</v>
      </c>
      <c r="AD20" s="11"/>
      <c r="AE20" s="93">
        <v>3.7</v>
      </c>
      <c r="AF20" s="17"/>
      <c r="AG20" s="93">
        <v>80</v>
      </c>
      <c r="AH20" s="17"/>
      <c r="AI20" s="93">
        <v>163</v>
      </c>
      <c r="AJ20" s="11"/>
      <c r="AK20" s="90">
        <f>IF(OR($A$8="1x",$A$8="2x",$A$8="4x",$A$8="4x+"),(G20/10)-1,(G20/10))+VLOOKUP(W20,CO14:CP16,2)+IF(I20="Small",-0.64,0)+IF(K20="Large",0.64,0)+IF(V20&gt;0,-V20/$CP$20,IF(V20&lt;0,V20/$CP$19,0))</f>
        <v>15.969999999999999</v>
      </c>
      <c r="AL20" s="11"/>
      <c r="AM20" s="38">
        <f>IF($A$8='Draft 10'!$CE$9,VLOOKUP(G20,Chart,10),IF($A$8='Draft 10'!$CE$11,VLOOKUP(G20,Chart,10),IF($A$8='Draft 10'!$CE$13,VLOOKUP(G20,Chart,10),IF($A$8='Draft 10'!$CE$15,VLOOKUP(G20,Chart,10),VLOOKUP(G20,Chart,11)))))</f>
        <v>28.9</v>
      </c>
      <c r="AN20" s="11">
        <f>IF($A$8='Draft 10'!$CE$9,VLOOKUP(G20,Chart,8),IF($A$8='Draft 10'!$CE$11,VLOOKUP(G20,Chart,6),IF($A$8='Draft 10'!$CE$13,VLOOKUP(G20,Chart,4),IF($A$8='Draft 10'!$CE$15,VLOOKUP(G20,Chart,2),VLOOKUP(G20,Chart,16)))))-IF($A$8='Draft 10'!$CE$8,2,IF($A$8='Draft 10'!$CE$10,1.4,IF($A$8='Draft 10'!$CE$12,1,0)))</f>
        <v>80.8999999999999</v>
      </c>
      <c r="AO20" s="38">
        <f>IF(AN20&lt;AG20,AG20,IF(AN20&gt;AI20,AI20,AN20))</f>
        <v>80.8999999999999</v>
      </c>
      <c r="AP20" s="11">
        <f>(VLOOKUP(G20,$BM$8:$CC$48,17)-(Q20*60+S20))/$CX$32*$CY$32</f>
        <v>-1.0333333333333334</v>
      </c>
      <c r="AQ20" s="38">
        <f>IF($A$8='Draft 10'!$CE$9,VLOOKUP(G20,Chart,7),(IF($A$8='Draft 10'!$CE$13,VLOOKUP(G20,Chart,5),(IF($A$8='Draft 10'!$CE$15,VLOOKUP(G20,Chart,3),VLOOKUP(G20,Chart,13))))))+VLOOKUP(AC20,BladeType,2)+VLOOKUP(Y20,$CX$24:$CY$26,2)+IF(AA20=$DA$24,$DB$24,IF(AA20=$DA$26,$DB$26,$DB$25))+AP20+(T20/$CQ$33*$CQ$32)+AR20</f>
        <v>363.32916666666665</v>
      </c>
      <c r="AR20" s="11">
        <f>IF(AO20=AN20,0,IF(AO20=AG20,(AG20-AN20)*$AS$37,IF(AO20=AI20,(AI20-AN20)*$AS$37)))*IF($A$8=$CE$9,0.5,IF($A$8=$CE$11,0.5,IF($A$8=$CE$13,0.5,IF($A$8=$CE$15,2,1))))</f>
        <v>0</v>
      </c>
      <c r="AS20" s="90">
        <f>IF($A$8='Draft 10'!$CE$8,(AO20-(AE20/2)+AM20),IF($A$8='Draft 10'!$CE$10,(AO20-(AE20/2)+AM20),IF($A$8='Draft 10'!$CE$12,(AO20-(AE20/2)+AM20),IF($A$8='Draft 10'!$CE$14,(AO20-(AE20/2)+AM20),(AO20/2-(AE20/2)+AM20/2)))))</f>
        <v>107.9499999999999</v>
      </c>
      <c r="AT20" s="11"/>
      <c r="AU20" s="38" t="str">
        <f>IF(M20=$CO$38,VLOOKUP($CO$38,$CO$38:$CP$40,2),IF(M20=$CO$39,VLOOKUP($CO$39,$CO$38:$CP$40,2),IF(M20=$CO$40,VLOOKUP($CO$40,$CO$40:$CP$40,2),$CP$39)))</f>
        <v>40 - 42</v>
      </c>
      <c r="AV20" s="30">
        <f t="shared" si="3"/>
        <v>159</v>
      </c>
      <c r="AW20" s="39">
        <f t="shared" si="1"/>
        <v>14.35</v>
      </c>
      <c r="AX20" s="30"/>
      <c r="AY20" s="38">
        <f>VLOOKUP($A$8,$CE$23:$CF$30,2)+6-(AV20/30+1)</f>
        <v>7.7</v>
      </c>
      <c r="AZ20" s="30"/>
      <c r="BA20" s="39">
        <f>VLOOKUP(E20,$CU$24:$CW$26,3)</f>
        <v>5</v>
      </c>
      <c r="BB20" s="30"/>
      <c r="BC20" s="39">
        <v>0</v>
      </c>
      <c r="BD20" s="30"/>
      <c r="BE20" s="39" t="str">
        <f>IF(AV20&lt;$BA$33,$BE$33,IF(AV20&lt;$BA$34,$BE$34,IF(AV20&lt;$BA$35,$BE$35,IF(AV20&lt;$BA$36,$BE$36,IF(AV20&lt;$BA$37,$BE$37,$BE$38)))))</f>
        <v>IM3/N</v>
      </c>
      <c r="BF20" s="30">
        <f t="shared" si="2"/>
        <v>107.39999999999998</v>
      </c>
      <c r="BG20" s="39" t="str">
        <f>IF(AV20-$DC$12&lt;$BC$33,$BE$33,IF(AV20-$DC$12&lt;$BC$34,$BE$34,IF(AV20-$DC$12&lt;$BC$35,$BE$35,IF(AV20-$DC$12&lt;$BC$36,$BE$36,IF(AV20-$DC$12&lt;$BC$37,$BE$37,$BE$38)))))</f>
        <v>IM3/N</v>
      </c>
      <c r="BH20" s="30"/>
      <c r="BI20" s="40">
        <f>INT(((Q20*60+S20)*HLOOKUP($A$8,$CV$18:$DC$21,4))/60)</f>
        <v>7</v>
      </c>
      <c r="BJ20" s="41" t="s">
        <v>16</v>
      </c>
      <c r="BK20" s="42">
        <f>(Q20*60+S20)*HLOOKUP($A$8,$CV$18:$DC$21,4)-BI20*60</f>
        <v>50.758456973293846</v>
      </c>
      <c r="BL20" s="89"/>
      <c r="BM20" s="64">
        <v>167</v>
      </c>
      <c r="BN20" s="65">
        <v>154.4</v>
      </c>
      <c r="BO20" s="65">
        <v>283</v>
      </c>
      <c r="BP20" s="65">
        <v>153.4</v>
      </c>
      <c r="BQ20" s="65">
        <v>284</v>
      </c>
      <c r="BR20" s="65">
        <v>153.15</v>
      </c>
      <c r="BS20" s="65">
        <v>284.5</v>
      </c>
      <c r="BT20" s="65">
        <v>152.9</v>
      </c>
      <c r="BU20" s="65">
        <v>285</v>
      </c>
      <c r="BV20" s="65">
        <v>19.2</v>
      </c>
      <c r="BW20" s="65">
        <v>29.2</v>
      </c>
      <c r="BX20" s="65">
        <v>81.1999999999999</v>
      </c>
      <c r="BY20" s="65">
        <v>368</v>
      </c>
      <c r="BZ20" s="65">
        <v>81.8000000000001</v>
      </c>
      <c r="CA20" s="65">
        <v>82.1999999999999</v>
      </c>
      <c r="CB20" s="65">
        <v>83.1999999999999</v>
      </c>
      <c r="CC20" s="66">
        <f t="shared" si="0"/>
        <v>456</v>
      </c>
      <c r="CD20" s="66">
        <v>14.8</v>
      </c>
      <c r="CE20" s="68"/>
      <c r="CF20" s="105"/>
      <c r="CG20" s="67">
        <v>67</v>
      </c>
      <c r="CH20" s="67"/>
      <c r="CI20" s="67"/>
      <c r="CJ20" s="69">
        <v>2.2</v>
      </c>
      <c r="CK20" s="67"/>
      <c r="CL20" s="67">
        <v>12</v>
      </c>
      <c r="CM20" s="68">
        <v>71</v>
      </c>
      <c r="CN20" s="68"/>
      <c r="CO20" s="68" t="s">
        <v>34</v>
      </c>
      <c r="CP20" s="68">
        <v>18.38</v>
      </c>
      <c r="CQ20" s="68">
        <v>1</v>
      </c>
      <c r="CR20" s="68"/>
      <c r="CS20" s="68"/>
      <c r="CT20" s="68"/>
      <c r="CU20" s="62" t="s">
        <v>71</v>
      </c>
      <c r="CV20" s="71">
        <f>Q38*60+S38</f>
        <v>391.67</v>
      </c>
      <c r="CW20" s="71">
        <f>Q37*60+S37</f>
        <v>374.27</v>
      </c>
      <c r="CX20" s="71">
        <f>Q36*60+S36</f>
        <v>364.37</v>
      </c>
      <c r="CY20" s="71">
        <f>Q33*60+S33</f>
        <v>341.35</v>
      </c>
      <c r="CZ20" s="71">
        <f>Q35*60+S35</f>
        <v>358.96</v>
      </c>
      <c r="DA20" s="71">
        <f>Q32*60+S32</f>
        <v>337.68</v>
      </c>
      <c r="DB20" s="71">
        <f>Q34*60+S34</f>
        <v>355</v>
      </c>
      <c r="DC20" s="71">
        <f>Q31*60+S31</f>
        <v>319.85</v>
      </c>
      <c r="DD20" s="68"/>
      <c r="DE20" s="91">
        <v>85</v>
      </c>
    </row>
    <row r="21" spans="1:109" s="6" customFormat="1" ht="12.75">
      <c r="A21" s="43"/>
      <c r="B21" s="43"/>
      <c r="C21" s="18"/>
      <c r="D21" s="18"/>
      <c r="E21" s="44"/>
      <c r="F21" s="18"/>
      <c r="G21" s="17"/>
      <c r="H21" s="18"/>
      <c r="I21" s="17"/>
      <c r="J21" s="18"/>
      <c r="K21" s="17"/>
      <c r="L21" s="18"/>
      <c r="M21" s="17"/>
      <c r="N21" s="18"/>
      <c r="O21" s="17"/>
      <c r="P21" s="18"/>
      <c r="Q21" s="17"/>
      <c r="R21" s="45"/>
      <c r="S21" s="17"/>
      <c r="T21" s="18"/>
      <c r="U21" s="46"/>
      <c r="V21" s="18"/>
      <c r="W21" s="19"/>
      <c r="X21" s="18"/>
      <c r="Y21" s="17"/>
      <c r="Z21" s="18"/>
      <c r="AA21" s="17"/>
      <c r="AB21" s="18"/>
      <c r="AC21" s="17"/>
      <c r="AD21" s="18"/>
      <c r="AE21" s="17"/>
      <c r="AF21" s="17"/>
      <c r="AG21" s="17"/>
      <c r="AH21" s="17"/>
      <c r="AI21" s="17"/>
      <c r="AJ21" s="18"/>
      <c r="AK21" s="18"/>
      <c r="AL21" s="18"/>
      <c r="AM21" s="18"/>
      <c r="AN21" s="18"/>
      <c r="AO21" s="18"/>
      <c r="AP21" s="18"/>
      <c r="AQ21" s="18"/>
      <c r="AR21" s="11"/>
      <c r="AS21" s="18"/>
      <c r="AT21" s="18"/>
      <c r="AU21" s="18"/>
      <c r="AV21" s="43"/>
      <c r="AW21" s="30"/>
      <c r="AX21" s="43"/>
      <c r="AY21" s="18"/>
      <c r="AZ21" s="43"/>
      <c r="BA21" s="43"/>
      <c r="BB21" s="43"/>
      <c r="BC21" s="43"/>
      <c r="BD21" s="43"/>
      <c r="BE21" s="43"/>
      <c r="BF21" s="43"/>
      <c r="BG21" s="43"/>
      <c r="BH21" s="43"/>
      <c r="BI21" s="47"/>
      <c r="BJ21" s="43"/>
      <c r="BK21" s="47"/>
      <c r="BL21" s="47"/>
      <c r="BM21" s="73">
        <v>168</v>
      </c>
      <c r="BN21" s="74">
        <v>154.6</v>
      </c>
      <c r="BO21" s="74">
        <v>283.25</v>
      </c>
      <c r="BP21" s="74">
        <v>153.6</v>
      </c>
      <c r="BQ21" s="74">
        <v>284.25</v>
      </c>
      <c r="BR21" s="74">
        <v>153.35</v>
      </c>
      <c r="BS21" s="74">
        <v>284.75</v>
      </c>
      <c r="BT21" s="74">
        <v>153.1</v>
      </c>
      <c r="BU21" s="74">
        <v>285.25</v>
      </c>
      <c r="BV21" s="74">
        <v>19.3</v>
      </c>
      <c r="BW21" s="74">
        <v>29.3</v>
      </c>
      <c r="BX21" s="74">
        <v>81.2999999999999</v>
      </c>
      <c r="BY21" s="74">
        <v>368.25</v>
      </c>
      <c r="BZ21" s="74">
        <v>81.9000000000001</v>
      </c>
      <c r="CA21" s="74">
        <v>82.2999999999999</v>
      </c>
      <c r="CB21" s="74">
        <v>83.2999999999999</v>
      </c>
      <c r="CC21" s="75">
        <f t="shared" si="0"/>
        <v>453</v>
      </c>
      <c r="CD21" s="75">
        <v>14.95</v>
      </c>
      <c r="CE21" s="72"/>
      <c r="CF21" s="105"/>
      <c r="CG21" s="71">
        <v>68</v>
      </c>
      <c r="CH21" s="71"/>
      <c r="CI21" s="71"/>
      <c r="CJ21" s="76">
        <v>2.3</v>
      </c>
      <c r="CK21" s="71"/>
      <c r="CL21" s="71">
        <v>13</v>
      </c>
      <c r="CM21" s="72">
        <v>72</v>
      </c>
      <c r="CN21" s="72"/>
      <c r="CO21" s="72"/>
      <c r="CP21" s="72"/>
      <c r="CQ21" s="72"/>
      <c r="CR21" s="72"/>
      <c r="CS21" s="72"/>
      <c r="CT21" s="72"/>
      <c r="CU21" s="79" t="s">
        <v>81</v>
      </c>
      <c r="CV21" s="72">
        <f aca="true" t="shared" si="5" ref="CV21:DC21">CV20/$DC$10</f>
        <v>1.162225519287834</v>
      </c>
      <c r="CW21" s="72">
        <f t="shared" si="5"/>
        <v>1.110593471810089</v>
      </c>
      <c r="CX21" s="72">
        <f t="shared" si="5"/>
        <v>1.0812166172106825</v>
      </c>
      <c r="CY21" s="72">
        <f t="shared" si="5"/>
        <v>1.0129080118694362</v>
      </c>
      <c r="CZ21" s="72">
        <f t="shared" si="5"/>
        <v>1.0651632047477744</v>
      </c>
      <c r="DA21" s="72">
        <f t="shared" si="5"/>
        <v>1.0020178041543026</v>
      </c>
      <c r="DB21" s="72">
        <f t="shared" si="5"/>
        <v>1.053412462908012</v>
      </c>
      <c r="DC21" s="72">
        <f t="shared" si="5"/>
        <v>0.9491097922848666</v>
      </c>
      <c r="DD21" s="72"/>
      <c r="DE21" s="92">
        <v>85.5</v>
      </c>
    </row>
    <row r="22" spans="1:109" s="2" customFormat="1" ht="12.75">
      <c r="A22" s="30"/>
      <c r="B22" s="30"/>
      <c r="C22" s="31">
        <f>IF($A$8="8+",1,IF(OR($A$8="4-",$A$8="4+",$A$8="4x+",$A$8="4x"),1,IF(OR($A$8="2x",$A$8="2-"),1,1)))</f>
        <v>1</v>
      </c>
      <c r="D22" s="11"/>
      <c r="E22" s="32" t="s">
        <v>86</v>
      </c>
      <c r="F22" s="11"/>
      <c r="G22" s="33">
        <v>164</v>
      </c>
      <c r="H22" s="11"/>
      <c r="I22" s="10" t="s">
        <v>25</v>
      </c>
      <c r="J22" s="11"/>
      <c r="K22" s="10" t="s">
        <v>25</v>
      </c>
      <c r="L22" s="11"/>
      <c r="M22" s="10" t="s">
        <v>59</v>
      </c>
      <c r="N22" s="11"/>
      <c r="O22" s="33">
        <v>70</v>
      </c>
      <c r="P22" s="11"/>
      <c r="Q22" s="34">
        <v>8</v>
      </c>
      <c r="R22" s="35" t="s">
        <v>16</v>
      </c>
      <c r="S22" s="36">
        <v>16</v>
      </c>
      <c r="T22" s="11">
        <f>IF($A$8="8+",(((SUM($Q$8:$Q$22)*60)+SUM($S$8:$S$22))/8),IF(OR($A$8="2x",$A$8="2-"),((SUM($Q$20:$Q$22)*60)+SUM($S$20:$S$22))/2,IF($A$8="1x",(Q22*60)+S22,((SUM($Q$16:$Q$22)*60)+SUM($S$16:$S$22))/4)))-((Q22*60)+S22)</f>
        <v>-57.75</v>
      </c>
      <c r="U22" s="33">
        <v>70</v>
      </c>
      <c r="V22" s="37">
        <f>U22-IF($A$8="8+",SUM($O$8:$O$22)/8,IF(OR($A$8="4x",$A$8="4-",$A$8="4+",$A$8="4x+"),SUM($O$16:$O$22)/4,IF(OR($A$8="2-",$A$8="2x"),SUM(O20:O22)/2,O22)))</f>
        <v>-5.375</v>
      </c>
      <c r="W22" s="12" t="s">
        <v>32</v>
      </c>
      <c r="X22" s="11"/>
      <c r="Y22" s="10" t="s">
        <v>96</v>
      </c>
      <c r="Z22" s="11"/>
      <c r="AA22" s="10" t="s">
        <v>93</v>
      </c>
      <c r="AB22" s="11"/>
      <c r="AC22" s="10" t="s">
        <v>0</v>
      </c>
      <c r="AD22" s="11"/>
      <c r="AE22" s="93">
        <v>3.7</v>
      </c>
      <c r="AF22" s="17"/>
      <c r="AG22" s="93">
        <v>80</v>
      </c>
      <c r="AH22" s="17"/>
      <c r="AI22" s="93">
        <v>163</v>
      </c>
      <c r="AJ22" s="11"/>
      <c r="AK22" s="90">
        <f>IF(OR($A$8="1x",$A$8="2x",$A$8="4x",$A$8="4x+"),(G22/10)-1,(G22/10))+VLOOKUP(W22,CO14:CP16,2)+IF(I22="Small",-0.64,0)+IF(K22="Large",0.64,0)+IF(V22&gt;0,-V22/$CP$20,IF(V22&lt;0,V22/$CP$19,0))</f>
        <v>15.969999999999999</v>
      </c>
      <c r="AL22" s="11"/>
      <c r="AM22" s="38">
        <f>IF($A$8='Draft 10'!$CE$9,VLOOKUP(G22,Chart,10),IF($A$8='Draft 10'!$CE$11,VLOOKUP(G22,Chart,10),IF($A$8='Draft 10'!$CE$13,VLOOKUP(G22,Chart,10),IF($A$8='Draft 10'!$CE$15,VLOOKUP(G22,Chart,10),VLOOKUP(G22,Chart,11)))))</f>
        <v>28.9</v>
      </c>
      <c r="AN22" s="11">
        <f>IF($A$8='Draft 10'!$CE$9,VLOOKUP(G22,Chart,8),IF($A$8='Draft 10'!$CE$11,VLOOKUP(G22,Chart,6),IF($A$8='Draft 10'!$CE$13,VLOOKUP(G22,Chart,4),IF($A$8='Draft 10'!$CE$15,VLOOKUP(G22,Chart,2),VLOOKUP(G22,Chart,16)))))-IF($A$8='Draft 10'!$CE$8,2,IF($A$8='Draft 10'!$CE$10,1.4,IF($A$8='Draft 10'!$CE$12,1,0)))</f>
        <v>80.8999999999999</v>
      </c>
      <c r="AO22" s="38">
        <f>IF(AN22&lt;AG22,AG22,IF(AN22&gt;AI22,AI22,AN22))</f>
        <v>80.8999999999999</v>
      </c>
      <c r="AP22" s="11">
        <f>(VLOOKUP(G22,$BM$8:$CC$48,17)-(Q22*60+S22))/$CX$32*$CY$32</f>
        <v>-1.0333333333333334</v>
      </c>
      <c r="AQ22" s="38">
        <f>IF($A$8='Draft 10'!$CE$9,VLOOKUP(G22,Chart,7),(IF($A$8='Draft 10'!$CE$13,VLOOKUP(G22,Chart,5),(IF($A$8='Draft 10'!$CE$15,VLOOKUP(G22,Chart,3),VLOOKUP(G22,Chart,13))))))+VLOOKUP(AC22,BladeType,2)+VLOOKUP(Y22,$CX$24:$CY$26,2)+IF(AA22=$DA$24,$DB$24,IF(AA22=$DA$26,$DB$26,$DB$25))+AP22+(T22/$CQ$33*$CQ$32)+AR22</f>
        <v>363.32916666666665</v>
      </c>
      <c r="AR22" s="11">
        <f>IF(AO22=AN22,0,IF(AO22=AG22,(AG22-AN22)*$AS$37,IF(AO22=AI22,(AI22-AN22)*$AS$37)))*IF($A$8=$CE$9,0.5,IF($A$8=$CE$11,0.5,IF($A$8=$CE$13,0.5,IF($A$8=$CE$15,2,1))))</f>
        <v>0</v>
      </c>
      <c r="AS22" s="90">
        <f>IF($A$8='Draft 10'!$CE$8,(AO22-(AE22/2)+AM22),IF($A$8='Draft 10'!$CE$10,(AO22-(AE22/2)+AM22),IF($A$8='Draft 10'!$CE$12,(AO22-(AE22/2)+AM22),IF($A$8='Draft 10'!$CE$14,(AO22-(AE22/2)+AM22),(AO22/2-(AE22/2)+AM22/2)))))</f>
        <v>107.9499999999999</v>
      </c>
      <c r="AT22" s="11"/>
      <c r="AU22" s="38" t="str">
        <f>IF(M22=$CO$38,VLOOKUP($CO$38,$CO$38:$CP$40,2),IF(M22=$CO$39,VLOOKUP($CO$39,$CO$38:$CP$40,2),IF(M22=$CO$40,VLOOKUP($CO$40,$CO$40:$CP$40,2),$CP$39)))</f>
        <v>40 - 42</v>
      </c>
      <c r="AV22" s="30">
        <f t="shared" si="3"/>
        <v>159</v>
      </c>
      <c r="AW22" s="39">
        <f t="shared" si="1"/>
        <v>14.35</v>
      </c>
      <c r="AX22" s="30"/>
      <c r="AY22" s="38">
        <f>VLOOKUP($A$8,$CE$23:$CF$30,2)+6-(AV22/30+1)</f>
        <v>7.7</v>
      </c>
      <c r="AZ22" s="30"/>
      <c r="BA22" s="39">
        <f>VLOOKUP(E22,$CU$24:$CW$26,3)</f>
        <v>5</v>
      </c>
      <c r="BB22" s="30"/>
      <c r="BC22" s="39">
        <v>0</v>
      </c>
      <c r="BD22" s="30"/>
      <c r="BE22" s="39" t="str">
        <f>IF(AV22&lt;$BA$33,$BE$33,IF(AV22&lt;$BA$34,$BE$34,IF(AV22&lt;$BA$35,$BE$35,IF(AV22&lt;$BA$36,$BE$36,IF(AV22&lt;$BA$37,$BE$37,$BE$38)))))</f>
        <v>IM3/N</v>
      </c>
      <c r="BF22" s="30">
        <f t="shared" si="2"/>
        <v>107.39999999999998</v>
      </c>
      <c r="BG22" s="39" t="str">
        <f>IF(AV22-$DC$12&lt;$BC$33,$BE$33,IF(AV22-$DC$12&lt;$BC$34,$BE$34,IF(AV22-$DC$12&lt;$BC$35,$BE$35,IF(AV22-$DC$12&lt;$BC$36,$BE$36,IF(AV22-$DC$12&lt;$BC$37,$BE$37,$BE$38)))))</f>
        <v>IM3/N</v>
      </c>
      <c r="BH22" s="30"/>
      <c r="BI22" s="40">
        <f>INT(((Q22*60+S22)*HLOOKUP($A$8,$CV$18:$DC$21,4))/60)</f>
        <v>7</v>
      </c>
      <c r="BJ22" s="41" t="s">
        <v>16</v>
      </c>
      <c r="BK22" s="42">
        <f>(Q22*60+S22)*HLOOKUP($A$8,$CV$18:$DC$21,4)-BI22*60</f>
        <v>50.758456973293846</v>
      </c>
      <c r="BL22" s="89"/>
      <c r="BM22" s="64">
        <v>169</v>
      </c>
      <c r="BN22" s="65">
        <v>154.8</v>
      </c>
      <c r="BO22" s="65">
        <v>283.5</v>
      </c>
      <c r="BP22" s="65">
        <v>153.8</v>
      </c>
      <c r="BQ22" s="65">
        <v>284.5</v>
      </c>
      <c r="BR22" s="65">
        <v>153.55</v>
      </c>
      <c r="BS22" s="65">
        <v>285</v>
      </c>
      <c r="BT22" s="65">
        <v>153.3</v>
      </c>
      <c r="BU22" s="65">
        <v>285.5</v>
      </c>
      <c r="BV22" s="65">
        <v>19.4</v>
      </c>
      <c r="BW22" s="65">
        <v>29.4</v>
      </c>
      <c r="BX22" s="65">
        <v>81.3999999999999</v>
      </c>
      <c r="BY22" s="65">
        <v>368.5</v>
      </c>
      <c r="BZ22" s="65">
        <v>82.0000000000001</v>
      </c>
      <c r="CA22" s="65">
        <v>82.3999999999999</v>
      </c>
      <c r="CB22" s="65">
        <v>83.3999999999999</v>
      </c>
      <c r="CC22" s="66">
        <f t="shared" si="0"/>
        <v>450</v>
      </c>
      <c r="CD22" s="66">
        <v>15.1</v>
      </c>
      <c r="CE22" s="68"/>
      <c r="CF22" s="105"/>
      <c r="CG22" s="67">
        <v>69</v>
      </c>
      <c r="CH22" s="67"/>
      <c r="CI22" s="67"/>
      <c r="CJ22" s="69">
        <v>2.4</v>
      </c>
      <c r="CK22" s="67"/>
      <c r="CL22" s="67">
        <v>14</v>
      </c>
      <c r="CM22" s="68">
        <v>73</v>
      </c>
      <c r="CN22" s="68"/>
      <c r="CO22" s="85" t="s">
        <v>2</v>
      </c>
      <c r="CP22" s="68"/>
      <c r="CQ22" s="68"/>
      <c r="CR22" s="68"/>
      <c r="CS22" s="68"/>
      <c r="CT22" s="68"/>
      <c r="CU22" s="68"/>
      <c r="CV22" s="68"/>
      <c r="CW22" s="68"/>
      <c r="CX22" s="68"/>
      <c r="CY22" s="68"/>
      <c r="CZ22" s="68"/>
      <c r="DA22" s="68"/>
      <c r="DB22" s="68"/>
      <c r="DC22" s="68"/>
      <c r="DD22" s="68"/>
      <c r="DE22" s="91">
        <v>86</v>
      </c>
    </row>
    <row r="23" spans="1:109" s="2" customFormat="1" ht="12.75">
      <c r="A23" s="7"/>
      <c r="B23" s="7"/>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17"/>
      <c r="AH23" s="9"/>
      <c r="AI23" s="17"/>
      <c r="AJ23" s="9"/>
      <c r="AK23" s="9"/>
      <c r="AL23" s="9"/>
      <c r="AM23" s="9"/>
      <c r="AN23" s="9"/>
      <c r="AO23" s="9"/>
      <c r="AP23" s="9"/>
      <c r="AQ23" s="9"/>
      <c r="AR23" s="9"/>
      <c r="AS23" s="9"/>
      <c r="AT23" s="9"/>
      <c r="AU23" s="9"/>
      <c r="AV23" s="7"/>
      <c r="AW23" s="7"/>
      <c r="AX23" s="7"/>
      <c r="AY23" s="7"/>
      <c r="AZ23" s="7"/>
      <c r="BA23" s="7"/>
      <c r="BB23" s="7"/>
      <c r="BC23" s="7"/>
      <c r="BD23" s="7"/>
      <c r="BE23" s="7"/>
      <c r="BF23" s="7"/>
      <c r="BG23" s="7"/>
      <c r="BH23" s="7"/>
      <c r="BI23" s="7"/>
      <c r="BJ23" s="7"/>
      <c r="BK23" s="7"/>
      <c r="BL23" s="7"/>
      <c r="BM23" s="64">
        <v>170</v>
      </c>
      <c r="BN23" s="65">
        <v>155</v>
      </c>
      <c r="BO23" s="65">
        <v>283.75</v>
      </c>
      <c r="BP23" s="65">
        <v>154</v>
      </c>
      <c r="BQ23" s="65">
        <v>284.75</v>
      </c>
      <c r="BR23" s="65">
        <v>153.75</v>
      </c>
      <c r="BS23" s="65">
        <v>285.25</v>
      </c>
      <c r="BT23" s="65">
        <v>153.5</v>
      </c>
      <c r="BU23" s="65">
        <v>285.75</v>
      </c>
      <c r="BV23" s="65">
        <v>19.5</v>
      </c>
      <c r="BW23" s="65">
        <v>29.5</v>
      </c>
      <c r="BX23" s="65">
        <v>81.4999999999999</v>
      </c>
      <c r="BY23" s="65">
        <v>368.75</v>
      </c>
      <c r="BZ23" s="65">
        <v>82.1000000000001</v>
      </c>
      <c r="CA23" s="65">
        <v>82.4999999999999</v>
      </c>
      <c r="CB23" s="65">
        <v>83.4999999999999</v>
      </c>
      <c r="CC23" s="66">
        <f t="shared" si="0"/>
        <v>447</v>
      </c>
      <c r="CD23" s="75">
        <v>15.25</v>
      </c>
      <c r="CE23" s="67" t="s">
        <v>6</v>
      </c>
      <c r="CF23" s="67">
        <v>-2</v>
      </c>
      <c r="CG23" s="67">
        <v>70</v>
      </c>
      <c r="CH23" s="67"/>
      <c r="CI23" s="67"/>
      <c r="CJ23" s="69">
        <v>2.5</v>
      </c>
      <c r="CK23" s="67"/>
      <c r="CL23" s="67">
        <v>15</v>
      </c>
      <c r="CM23" s="68">
        <v>74</v>
      </c>
      <c r="CN23" s="68"/>
      <c r="CO23" s="68"/>
      <c r="CP23" s="68" t="s">
        <v>39</v>
      </c>
      <c r="CQ23" s="68" t="s">
        <v>40</v>
      </c>
      <c r="CR23" s="68" t="s">
        <v>38</v>
      </c>
      <c r="CS23" s="68"/>
      <c r="CT23" s="68"/>
      <c r="CU23" s="85" t="s">
        <v>88</v>
      </c>
      <c r="CV23" s="68"/>
      <c r="CW23" s="68"/>
      <c r="CX23" s="85" t="s">
        <v>89</v>
      </c>
      <c r="CY23" s="68"/>
      <c r="CZ23" s="68"/>
      <c r="DA23" s="85" t="s">
        <v>90</v>
      </c>
      <c r="DB23" s="68"/>
      <c r="DC23" s="68"/>
      <c r="DD23" s="68"/>
      <c r="DE23" s="92">
        <v>86.5</v>
      </c>
    </row>
    <row r="24" spans="1:109" s="2" customFormat="1" ht="14.25" customHeight="1" thickBot="1">
      <c r="A24" s="7"/>
      <c r="B24" s="7"/>
      <c r="C24" s="9"/>
      <c r="D24" s="9"/>
      <c r="E24" s="9"/>
      <c r="F24" s="9"/>
      <c r="G24" s="7"/>
      <c r="H24" s="7"/>
      <c r="I24" s="124" t="s">
        <v>114</v>
      </c>
      <c r="J24" s="125"/>
      <c r="K24" s="125"/>
      <c r="L24" s="125"/>
      <c r="M24" s="125"/>
      <c r="N24" s="125"/>
      <c r="O24" s="126"/>
      <c r="P24" s="9"/>
      <c r="Q24" s="101">
        <v>5</v>
      </c>
      <c r="R24" s="8" t="s">
        <v>16</v>
      </c>
      <c r="S24" s="100">
        <v>37</v>
      </c>
      <c r="T24" s="9"/>
      <c r="U24" s="9"/>
      <c r="V24" s="9"/>
      <c r="W24" s="7"/>
      <c r="X24" s="7"/>
      <c r="Y24" s="7"/>
      <c r="Z24" s="7"/>
      <c r="AA24" s="7"/>
      <c r="AB24" s="7"/>
      <c r="AC24" s="7"/>
      <c r="AD24" s="7"/>
      <c r="AE24" s="7"/>
      <c r="AF24" s="7"/>
      <c r="AG24" s="7"/>
      <c r="AH24" s="7"/>
      <c r="AI24" s="7"/>
      <c r="AJ24" s="7"/>
      <c r="AK24" s="7"/>
      <c r="AL24" s="7"/>
      <c r="AM24" s="7"/>
      <c r="AN24" s="7"/>
      <c r="AO24" s="7"/>
      <c r="AP24" s="9"/>
      <c r="AQ24" s="29"/>
      <c r="AR24" s="29"/>
      <c r="AS24" s="29"/>
      <c r="AT24" s="9"/>
      <c r="AU24" s="7"/>
      <c r="AV24" s="7"/>
      <c r="AW24" s="7"/>
      <c r="AX24" s="7"/>
      <c r="AY24" s="7"/>
      <c r="AZ24" s="7"/>
      <c r="BA24" s="7"/>
      <c r="BB24" s="7"/>
      <c r="BC24" s="106" t="s">
        <v>74</v>
      </c>
      <c r="BD24" s="107"/>
      <c r="BE24" s="107"/>
      <c r="BF24" s="107"/>
      <c r="BG24" s="107"/>
      <c r="BH24" s="7"/>
      <c r="BI24" s="15">
        <f>INT(((((BI8+BI10)*60)+BK8+BK10)/60)/2)</f>
        <v>5</v>
      </c>
      <c r="BJ24" s="21" t="s">
        <v>16</v>
      </c>
      <c r="BK24" s="16">
        <f>((((((BI8+BI10)*60)+BK8+BK10)))-(BI24*60*2))/2</f>
        <v>53.068842729970356</v>
      </c>
      <c r="BL24" s="23"/>
      <c r="BM24" s="64">
        <v>171</v>
      </c>
      <c r="BN24" s="65">
        <v>155.2</v>
      </c>
      <c r="BO24" s="65">
        <v>284</v>
      </c>
      <c r="BP24" s="65">
        <v>154.2</v>
      </c>
      <c r="BQ24" s="65">
        <v>285</v>
      </c>
      <c r="BR24" s="65">
        <v>153.95</v>
      </c>
      <c r="BS24" s="65">
        <v>285.5</v>
      </c>
      <c r="BT24" s="65">
        <v>153.7</v>
      </c>
      <c r="BU24" s="65">
        <v>286</v>
      </c>
      <c r="BV24" s="65">
        <v>19.6</v>
      </c>
      <c r="BW24" s="65">
        <v>29.6</v>
      </c>
      <c r="BX24" s="65">
        <v>81.5999999999999</v>
      </c>
      <c r="BY24" s="65">
        <v>369</v>
      </c>
      <c r="BZ24" s="65">
        <v>82.2000000000001</v>
      </c>
      <c r="CA24" s="65">
        <v>82.5999999999999</v>
      </c>
      <c r="CB24" s="65">
        <v>83.5999999999999</v>
      </c>
      <c r="CC24" s="66">
        <f t="shared" si="0"/>
        <v>444</v>
      </c>
      <c r="CD24" s="66">
        <v>15.4</v>
      </c>
      <c r="CE24" s="67" t="s">
        <v>10</v>
      </c>
      <c r="CF24" s="67">
        <v>0</v>
      </c>
      <c r="CG24" s="67">
        <v>71</v>
      </c>
      <c r="CH24" s="67"/>
      <c r="CI24" s="67"/>
      <c r="CJ24" s="69">
        <v>2.6</v>
      </c>
      <c r="CK24" s="67"/>
      <c r="CL24" s="67">
        <v>16</v>
      </c>
      <c r="CM24" s="68">
        <v>75</v>
      </c>
      <c r="CN24" s="68"/>
      <c r="CO24" s="68" t="s">
        <v>36</v>
      </c>
      <c r="CP24" s="68">
        <v>14</v>
      </c>
      <c r="CQ24" s="68">
        <v>18</v>
      </c>
      <c r="CR24" s="68">
        <v>4</v>
      </c>
      <c r="CS24" s="68"/>
      <c r="CT24" s="68"/>
      <c r="CU24" s="68" t="s">
        <v>86</v>
      </c>
      <c r="CV24" s="68" t="s">
        <v>97</v>
      </c>
      <c r="CW24" s="68">
        <v>5</v>
      </c>
      <c r="CX24" s="68" t="s">
        <v>94</v>
      </c>
      <c r="CY24" s="68">
        <v>2</v>
      </c>
      <c r="CZ24" s="68"/>
      <c r="DA24" s="68" t="s">
        <v>92</v>
      </c>
      <c r="DB24" s="68">
        <v>-1</v>
      </c>
      <c r="DC24" s="68"/>
      <c r="DD24" s="68"/>
      <c r="DE24" s="91">
        <v>87</v>
      </c>
    </row>
    <row r="25" spans="1:109" s="2" customFormat="1" ht="14.25" customHeight="1">
      <c r="A25" s="7"/>
      <c r="B25" s="7"/>
      <c r="C25" s="9"/>
      <c r="D25" s="9"/>
      <c r="E25" s="9"/>
      <c r="F25" s="9"/>
      <c r="G25" s="22"/>
      <c r="H25" s="22"/>
      <c r="I25" s="22"/>
      <c r="J25" s="22"/>
      <c r="K25" s="22"/>
      <c r="L25" s="22"/>
      <c r="M25" s="22"/>
      <c r="N25" s="7"/>
      <c r="O25" s="7"/>
      <c r="P25" s="7"/>
      <c r="Q25" s="97"/>
      <c r="R25" s="7"/>
      <c r="S25" s="97"/>
      <c r="T25" s="9"/>
      <c r="U25" s="9"/>
      <c r="V25" s="9"/>
      <c r="Y25" s="115" t="s">
        <v>132</v>
      </c>
      <c r="Z25" s="137"/>
      <c r="AA25" s="137"/>
      <c r="AB25" s="137"/>
      <c r="AC25" s="137"/>
      <c r="AD25" s="137"/>
      <c r="AE25" s="137"/>
      <c r="AF25" s="137"/>
      <c r="AG25" s="137"/>
      <c r="AH25" s="137"/>
      <c r="AI25" s="137"/>
      <c r="AJ25" s="137"/>
      <c r="AK25" s="137"/>
      <c r="AL25" s="137"/>
      <c r="AM25" s="137"/>
      <c r="AN25" s="137"/>
      <c r="AO25" s="137"/>
      <c r="AP25" s="137"/>
      <c r="AQ25" s="138"/>
      <c r="AR25" s="7"/>
      <c r="AS25" s="7"/>
      <c r="AT25" s="7"/>
      <c r="AU25" s="7"/>
      <c r="AV25" s="3"/>
      <c r="AW25" s="3"/>
      <c r="AX25" s="3"/>
      <c r="AY25" s="3"/>
      <c r="AZ25" s="7"/>
      <c r="BA25" s="7"/>
      <c r="BB25" s="7"/>
      <c r="BC25" s="106" t="s">
        <v>116</v>
      </c>
      <c r="BD25" s="107"/>
      <c r="BE25" s="107"/>
      <c r="BF25" s="107"/>
      <c r="BG25" s="107"/>
      <c r="BH25" s="7"/>
      <c r="BI25" s="15">
        <f>INT(((((BI12+BI14)*60)+BK12+BK14)/60)/2)</f>
        <v>6</v>
      </c>
      <c r="BJ25" s="21" t="s">
        <v>16</v>
      </c>
      <c r="BK25" s="16">
        <f>((((((BI12+BI14)*60)+BK12+BK14)))-(BI25*60*2))/2</f>
        <v>9.203709198813044</v>
      </c>
      <c r="BL25" s="23"/>
      <c r="BM25" s="64">
        <v>172</v>
      </c>
      <c r="BN25" s="65">
        <v>155.4</v>
      </c>
      <c r="BO25" s="65">
        <v>284.25</v>
      </c>
      <c r="BP25" s="65">
        <v>154.4</v>
      </c>
      <c r="BQ25" s="65">
        <v>285.25</v>
      </c>
      <c r="BR25" s="65">
        <v>154.15</v>
      </c>
      <c r="BS25" s="65">
        <v>285.75</v>
      </c>
      <c r="BT25" s="65">
        <v>153.9</v>
      </c>
      <c r="BU25" s="65">
        <v>286.25</v>
      </c>
      <c r="BV25" s="65">
        <v>19.7</v>
      </c>
      <c r="BW25" s="65">
        <v>29.7</v>
      </c>
      <c r="BX25" s="65">
        <v>81.6999999999999</v>
      </c>
      <c r="BY25" s="65">
        <v>369.25</v>
      </c>
      <c r="BZ25" s="65">
        <v>82.3000000000001</v>
      </c>
      <c r="CA25" s="65">
        <v>82.6999999999999</v>
      </c>
      <c r="CB25" s="65">
        <v>83.6999999999999</v>
      </c>
      <c r="CC25" s="66">
        <f t="shared" si="0"/>
        <v>441</v>
      </c>
      <c r="CD25" s="75">
        <v>15.55</v>
      </c>
      <c r="CE25" s="67" t="s">
        <v>11</v>
      </c>
      <c r="CF25" s="67">
        <v>0</v>
      </c>
      <c r="CG25" s="67">
        <v>72</v>
      </c>
      <c r="CH25" s="67"/>
      <c r="CI25" s="67"/>
      <c r="CJ25" s="69">
        <v>2.7</v>
      </c>
      <c r="CK25" s="67"/>
      <c r="CL25" s="67">
        <v>17</v>
      </c>
      <c r="CM25" s="68">
        <v>76</v>
      </c>
      <c r="CN25" s="68"/>
      <c r="CO25" s="68" t="s">
        <v>37</v>
      </c>
      <c r="CP25" s="68">
        <v>15</v>
      </c>
      <c r="CQ25" s="68">
        <v>19</v>
      </c>
      <c r="CR25" s="68">
        <v>4</v>
      </c>
      <c r="CS25" s="68"/>
      <c r="CT25" s="68"/>
      <c r="CU25" s="68" t="s">
        <v>65</v>
      </c>
      <c r="CV25" s="68" t="s">
        <v>98</v>
      </c>
      <c r="CW25" s="68">
        <v>4</v>
      </c>
      <c r="CX25" s="68" t="s">
        <v>95</v>
      </c>
      <c r="CY25" s="68">
        <v>-4</v>
      </c>
      <c r="CZ25" s="68"/>
      <c r="DA25" s="68" t="s">
        <v>93</v>
      </c>
      <c r="DB25" s="68">
        <v>0</v>
      </c>
      <c r="DC25" s="68"/>
      <c r="DD25" s="68"/>
      <c r="DE25" s="92">
        <v>87.5</v>
      </c>
    </row>
    <row r="26" spans="1:109" s="2" customFormat="1" ht="12.75" customHeight="1">
      <c r="A26" s="7"/>
      <c r="B26" s="7"/>
      <c r="C26" s="9"/>
      <c r="D26" s="9"/>
      <c r="E26" s="9"/>
      <c r="F26" s="9"/>
      <c r="G26" s="7"/>
      <c r="H26" s="7"/>
      <c r="I26" s="124" t="s">
        <v>113</v>
      </c>
      <c r="J26" s="125"/>
      <c r="K26" s="125"/>
      <c r="L26" s="125"/>
      <c r="M26" s="125"/>
      <c r="N26" s="125"/>
      <c r="O26" s="126"/>
      <c r="P26" s="9"/>
      <c r="Q26" s="101">
        <v>6</v>
      </c>
      <c r="R26" s="8" t="s">
        <v>16</v>
      </c>
      <c r="S26" s="100">
        <v>28.6</v>
      </c>
      <c r="T26" s="7"/>
      <c r="U26" s="9"/>
      <c r="V26" s="9"/>
      <c r="Y26" s="139"/>
      <c r="Z26" s="140"/>
      <c r="AA26" s="140"/>
      <c r="AB26" s="140"/>
      <c r="AC26" s="140"/>
      <c r="AD26" s="140"/>
      <c r="AE26" s="140"/>
      <c r="AF26" s="140"/>
      <c r="AG26" s="140"/>
      <c r="AH26" s="140"/>
      <c r="AI26" s="140"/>
      <c r="AJ26" s="140"/>
      <c r="AK26" s="140"/>
      <c r="AL26" s="140"/>
      <c r="AM26" s="140"/>
      <c r="AN26" s="140"/>
      <c r="AO26" s="140"/>
      <c r="AP26" s="140"/>
      <c r="AQ26" s="141"/>
      <c r="AR26" s="7"/>
      <c r="AS26" s="7"/>
      <c r="AT26" s="7"/>
      <c r="AU26" s="7"/>
      <c r="AV26" s="3"/>
      <c r="AW26" s="3"/>
      <c r="AX26" s="3"/>
      <c r="AY26" s="3"/>
      <c r="AZ26" s="7"/>
      <c r="BA26" s="7"/>
      <c r="BB26" s="7"/>
      <c r="BC26" s="106" t="s">
        <v>117</v>
      </c>
      <c r="BD26" s="107"/>
      <c r="BE26" s="107"/>
      <c r="BF26" s="107"/>
      <c r="BG26" s="107"/>
      <c r="BH26" s="7"/>
      <c r="BI26" s="15">
        <f>INT(((((BI16+BI18)*60)+BK16+BK18)/60)/2)</f>
        <v>7</v>
      </c>
      <c r="BJ26" s="21" t="s">
        <v>16</v>
      </c>
      <c r="BK26" s="16">
        <f>((((((BI16+BI18)*60)+BK16+BK18)))-(BI26*60*2))/2</f>
        <v>50.758456973293846</v>
      </c>
      <c r="BL26" s="23"/>
      <c r="BM26" s="64">
        <v>173</v>
      </c>
      <c r="BN26" s="65">
        <v>155.6</v>
      </c>
      <c r="BO26" s="65">
        <v>284.5</v>
      </c>
      <c r="BP26" s="65">
        <v>154.6</v>
      </c>
      <c r="BQ26" s="65">
        <v>285.5</v>
      </c>
      <c r="BR26" s="65">
        <v>154.35</v>
      </c>
      <c r="BS26" s="65">
        <v>286</v>
      </c>
      <c r="BT26" s="65">
        <v>154.1</v>
      </c>
      <c r="BU26" s="65">
        <v>286.5</v>
      </c>
      <c r="BV26" s="65">
        <v>19.8</v>
      </c>
      <c r="BW26" s="65">
        <v>29.8</v>
      </c>
      <c r="BX26" s="65">
        <v>81.7999999999999</v>
      </c>
      <c r="BY26" s="65">
        <v>369.5</v>
      </c>
      <c r="BZ26" s="65">
        <v>82.4000000000001</v>
      </c>
      <c r="CA26" s="65">
        <v>82.7999999999999</v>
      </c>
      <c r="CB26" s="65">
        <v>83.7999999999999</v>
      </c>
      <c r="CC26" s="66">
        <f t="shared" si="0"/>
        <v>438</v>
      </c>
      <c r="CD26" s="66">
        <v>15.7</v>
      </c>
      <c r="CE26" s="67" t="s">
        <v>14</v>
      </c>
      <c r="CF26" s="67">
        <v>4</v>
      </c>
      <c r="CG26" s="67">
        <v>73</v>
      </c>
      <c r="CH26" s="67"/>
      <c r="CI26" s="67"/>
      <c r="CJ26" s="69">
        <v>2.8</v>
      </c>
      <c r="CK26" s="67"/>
      <c r="CL26" s="67">
        <v>18</v>
      </c>
      <c r="CM26" s="68">
        <v>77</v>
      </c>
      <c r="CN26" s="68"/>
      <c r="CO26" s="68" t="s">
        <v>2</v>
      </c>
      <c r="CP26" s="68">
        <v>150</v>
      </c>
      <c r="CQ26" s="68">
        <v>190</v>
      </c>
      <c r="CR26" s="68">
        <v>40</v>
      </c>
      <c r="CS26" s="68"/>
      <c r="CT26" s="68"/>
      <c r="CU26" s="68" t="s">
        <v>85</v>
      </c>
      <c r="CV26" s="68" t="s">
        <v>99</v>
      </c>
      <c r="CW26" s="86">
        <v>6</v>
      </c>
      <c r="CX26" s="68" t="s">
        <v>96</v>
      </c>
      <c r="CY26" s="68">
        <v>0</v>
      </c>
      <c r="CZ26" s="68"/>
      <c r="DA26" s="68" t="s">
        <v>91</v>
      </c>
      <c r="DB26" s="68">
        <v>1</v>
      </c>
      <c r="DC26" s="68"/>
      <c r="DD26" s="68"/>
      <c r="DE26" s="91">
        <v>88</v>
      </c>
    </row>
    <row r="27" spans="1:109" s="2" customFormat="1" ht="14.25">
      <c r="A27" s="7"/>
      <c r="B27" s="7"/>
      <c r="C27" s="9"/>
      <c r="D27" s="9"/>
      <c r="E27" s="9"/>
      <c r="F27" s="9"/>
      <c r="G27" s="9"/>
      <c r="H27" s="9"/>
      <c r="I27" s="9"/>
      <c r="J27" s="9"/>
      <c r="K27" s="9"/>
      <c r="L27" s="9"/>
      <c r="M27" s="9"/>
      <c r="N27" s="9"/>
      <c r="O27" s="9"/>
      <c r="P27" s="9"/>
      <c r="Q27" s="9"/>
      <c r="R27" s="9"/>
      <c r="S27" s="9"/>
      <c r="T27" s="9"/>
      <c r="U27" s="9"/>
      <c r="V27" s="9"/>
      <c r="Y27" s="139"/>
      <c r="Z27" s="140"/>
      <c r="AA27" s="140"/>
      <c r="AB27" s="140"/>
      <c r="AC27" s="140"/>
      <c r="AD27" s="140"/>
      <c r="AE27" s="140"/>
      <c r="AF27" s="140"/>
      <c r="AG27" s="140"/>
      <c r="AH27" s="140"/>
      <c r="AI27" s="140"/>
      <c r="AJ27" s="140"/>
      <c r="AK27" s="140"/>
      <c r="AL27" s="140"/>
      <c r="AM27" s="140"/>
      <c r="AN27" s="140"/>
      <c r="AO27" s="140"/>
      <c r="AP27" s="140"/>
      <c r="AQ27" s="141"/>
      <c r="AR27" s="7"/>
      <c r="AS27" s="7"/>
      <c r="AT27" s="7"/>
      <c r="AU27" s="7"/>
      <c r="AV27" s="3"/>
      <c r="AW27" s="3"/>
      <c r="AX27" s="3"/>
      <c r="AY27" s="3"/>
      <c r="AZ27" s="7"/>
      <c r="BA27" s="7"/>
      <c r="BB27" s="7"/>
      <c r="BC27" s="106" t="s">
        <v>118</v>
      </c>
      <c r="BD27" s="107"/>
      <c r="BE27" s="107"/>
      <c r="BF27" s="107"/>
      <c r="BG27" s="107"/>
      <c r="BH27" s="7"/>
      <c r="BI27" s="15">
        <f>INT(((((BI20+BI22)*60)+BK20+BK22)/60)/2)</f>
        <v>7</v>
      </c>
      <c r="BJ27" s="21" t="s">
        <v>16</v>
      </c>
      <c r="BK27" s="16">
        <f>((((((BI20+BI22)*60)+BK20+BK22)))-(BI27*60*2))/2</f>
        <v>50.758456973293846</v>
      </c>
      <c r="BL27" s="23"/>
      <c r="BM27" s="64">
        <v>174</v>
      </c>
      <c r="BN27" s="65">
        <v>155.8</v>
      </c>
      <c r="BO27" s="65">
        <v>284.75</v>
      </c>
      <c r="BP27" s="65">
        <v>154.8</v>
      </c>
      <c r="BQ27" s="65">
        <v>285.75</v>
      </c>
      <c r="BR27" s="65">
        <v>154.55</v>
      </c>
      <c r="BS27" s="65">
        <v>286.25</v>
      </c>
      <c r="BT27" s="65">
        <v>154.3</v>
      </c>
      <c r="BU27" s="65">
        <v>286.75</v>
      </c>
      <c r="BV27" s="65">
        <v>19.9</v>
      </c>
      <c r="BW27" s="65">
        <v>29.9</v>
      </c>
      <c r="BX27" s="65">
        <v>81.8999999999999</v>
      </c>
      <c r="BY27" s="65">
        <v>369.75</v>
      </c>
      <c r="BZ27" s="65">
        <v>82.5000000000002</v>
      </c>
      <c r="CA27" s="65">
        <v>82.8999999999999</v>
      </c>
      <c r="CB27" s="65">
        <v>83.8999999999999</v>
      </c>
      <c r="CC27" s="66">
        <f t="shared" si="0"/>
        <v>435</v>
      </c>
      <c r="CD27" s="75">
        <v>15.85</v>
      </c>
      <c r="CE27" s="67" t="s">
        <v>9</v>
      </c>
      <c r="CF27" s="67">
        <v>2</v>
      </c>
      <c r="CG27" s="67">
        <v>74</v>
      </c>
      <c r="CH27" s="67"/>
      <c r="CI27" s="67"/>
      <c r="CJ27" s="69">
        <v>2.9</v>
      </c>
      <c r="CK27" s="67"/>
      <c r="CL27" s="67">
        <v>19</v>
      </c>
      <c r="CM27" s="68">
        <v>78</v>
      </c>
      <c r="CN27" s="68"/>
      <c r="CO27" s="68"/>
      <c r="CP27" s="68"/>
      <c r="CQ27" s="68"/>
      <c r="CR27" s="68"/>
      <c r="CS27" s="68"/>
      <c r="CT27" s="68"/>
      <c r="CU27" s="68"/>
      <c r="CV27" s="68"/>
      <c r="CW27" s="68"/>
      <c r="CX27" s="68"/>
      <c r="CY27" s="68"/>
      <c r="CZ27" s="68"/>
      <c r="DA27" s="68"/>
      <c r="DB27" s="68"/>
      <c r="DC27" s="68"/>
      <c r="DD27" s="68"/>
      <c r="DE27" s="92">
        <v>88.5</v>
      </c>
    </row>
    <row r="28" spans="1:109" s="2" customFormat="1" ht="14.25">
      <c r="A28" s="7"/>
      <c r="B28" s="7"/>
      <c r="C28" s="9"/>
      <c r="D28" s="9"/>
      <c r="E28" s="9"/>
      <c r="F28" s="9"/>
      <c r="G28" s="9"/>
      <c r="H28" s="9"/>
      <c r="I28" s="7"/>
      <c r="J28" s="7"/>
      <c r="K28" s="7"/>
      <c r="L28" s="7"/>
      <c r="M28" s="7"/>
      <c r="N28" s="7"/>
      <c r="O28" s="7"/>
      <c r="P28" s="23"/>
      <c r="Q28" s="23"/>
      <c r="R28" s="23"/>
      <c r="S28" s="23"/>
      <c r="T28" s="23"/>
      <c r="U28" s="23"/>
      <c r="V28" s="9"/>
      <c r="Y28" s="139"/>
      <c r="Z28" s="140"/>
      <c r="AA28" s="140"/>
      <c r="AB28" s="140"/>
      <c r="AC28" s="140"/>
      <c r="AD28" s="140"/>
      <c r="AE28" s="140"/>
      <c r="AF28" s="140"/>
      <c r="AG28" s="140"/>
      <c r="AH28" s="140"/>
      <c r="AI28" s="140"/>
      <c r="AJ28" s="140"/>
      <c r="AK28" s="140"/>
      <c r="AL28" s="140"/>
      <c r="AM28" s="140"/>
      <c r="AN28" s="140"/>
      <c r="AO28" s="140"/>
      <c r="AP28" s="140"/>
      <c r="AQ28" s="141"/>
      <c r="AR28" s="7"/>
      <c r="AS28" s="7"/>
      <c r="AT28" s="7"/>
      <c r="AU28" s="7"/>
      <c r="AV28" s="3"/>
      <c r="AW28" s="3"/>
      <c r="AX28" s="3"/>
      <c r="AY28" s="3"/>
      <c r="AZ28" s="7"/>
      <c r="BA28" s="7"/>
      <c r="BB28" s="7"/>
      <c r="BC28" s="106" t="s">
        <v>119</v>
      </c>
      <c r="BD28" s="107"/>
      <c r="BE28" s="107"/>
      <c r="BF28" s="107"/>
      <c r="BG28" s="107"/>
      <c r="BH28" s="7"/>
      <c r="BI28" s="15">
        <f>INT(((((BI8+BI10+BI12+BI14)*60)+BK8+BK10+BK12+BK14)/60)/4)</f>
        <v>6</v>
      </c>
      <c r="BJ28" s="21" t="s">
        <v>16</v>
      </c>
      <c r="BK28" s="16">
        <f>((((((BI8+BI10+BI12+BI14)*60)+BK8+BK10+BK12+BK14)))-(BI28*60*4))/4</f>
        <v>1.1362759643917002</v>
      </c>
      <c r="BL28" s="23"/>
      <c r="BM28" s="64">
        <v>175</v>
      </c>
      <c r="BN28" s="65">
        <v>156</v>
      </c>
      <c r="BO28" s="65">
        <v>285</v>
      </c>
      <c r="BP28" s="65">
        <v>155</v>
      </c>
      <c r="BQ28" s="65">
        <v>286</v>
      </c>
      <c r="BR28" s="65">
        <v>154.75</v>
      </c>
      <c r="BS28" s="65">
        <v>286.5</v>
      </c>
      <c r="BT28" s="65">
        <v>154.5</v>
      </c>
      <c r="BU28" s="65">
        <v>287</v>
      </c>
      <c r="BV28" s="65">
        <v>20</v>
      </c>
      <c r="BW28" s="65">
        <v>30</v>
      </c>
      <c r="BX28" s="65">
        <v>81.9999999999999</v>
      </c>
      <c r="BY28" s="65">
        <v>370</v>
      </c>
      <c r="BZ28" s="65">
        <v>82.6000000000002</v>
      </c>
      <c r="CA28" s="65">
        <v>82.9999999999999</v>
      </c>
      <c r="CB28" s="65">
        <v>83.9999999999999</v>
      </c>
      <c r="CC28" s="66">
        <f t="shared" si="0"/>
        <v>432</v>
      </c>
      <c r="CD28" s="66">
        <v>16</v>
      </c>
      <c r="CE28" s="67" t="s">
        <v>12</v>
      </c>
      <c r="CF28" s="67">
        <v>2</v>
      </c>
      <c r="CG28" s="67">
        <v>75</v>
      </c>
      <c r="CH28" s="67"/>
      <c r="CI28" s="67"/>
      <c r="CJ28" s="69">
        <v>3</v>
      </c>
      <c r="CK28" s="67"/>
      <c r="CL28" s="67">
        <v>20</v>
      </c>
      <c r="CM28" s="68">
        <v>79</v>
      </c>
      <c r="CN28" s="68"/>
      <c r="CO28" s="68"/>
      <c r="CP28" s="68"/>
      <c r="CQ28" s="68"/>
      <c r="CR28" s="68"/>
      <c r="CS28" s="68"/>
      <c r="CT28" s="68"/>
      <c r="CU28" s="68"/>
      <c r="CV28" s="68"/>
      <c r="CW28" s="87" t="s">
        <v>100</v>
      </c>
      <c r="CX28" s="68"/>
      <c r="CY28" s="68"/>
      <c r="CZ28" s="68"/>
      <c r="DA28" s="68"/>
      <c r="DB28" s="68"/>
      <c r="DC28" s="68"/>
      <c r="DD28" s="68"/>
      <c r="DE28" s="91">
        <v>89</v>
      </c>
    </row>
    <row r="29" spans="1:109" s="2" customFormat="1" ht="14.25">
      <c r="A29" s="7"/>
      <c r="B29" s="7"/>
      <c r="C29" s="7"/>
      <c r="D29" s="7"/>
      <c r="E29" s="7"/>
      <c r="F29" s="7"/>
      <c r="G29" s="7"/>
      <c r="H29" s="7"/>
      <c r="I29" s="7"/>
      <c r="J29" s="7"/>
      <c r="K29" s="7"/>
      <c r="L29" s="9"/>
      <c r="M29" s="9"/>
      <c r="N29" s="9"/>
      <c r="O29" s="23"/>
      <c r="P29" s="23"/>
      <c r="Q29" s="23"/>
      <c r="R29" s="23"/>
      <c r="S29" s="23"/>
      <c r="T29" s="23"/>
      <c r="U29" s="23"/>
      <c r="V29" s="9"/>
      <c r="Y29" s="139"/>
      <c r="Z29" s="140"/>
      <c r="AA29" s="140"/>
      <c r="AB29" s="140"/>
      <c r="AC29" s="140"/>
      <c r="AD29" s="140"/>
      <c r="AE29" s="140"/>
      <c r="AF29" s="140"/>
      <c r="AG29" s="140"/>
      <c r="AH29" s="140"/>
      <c r="AI29" s="140"/>
      <c r="AJ29" s="140"/>
      <c r="AK29" s="140"/>
      <c r="AL29" s="140"/>
      <c r="AM29" s="140"/>
      <c r="AN29" s="140"/>
      <c r="AO29" s="140"/>
      <c r="AP29" s="140"/>
      <c r="AQ29" s="141"/>
      <c r="AR29" s="7"/>
      <c r="AS29" s="7"/>
      <c r="AT29" s="7"/>
      <c r="AU29" s="7"/>
      <c r="AV29" s="3"/>
      <c r="AW29" s="3"/>
      <c r="AX29" s="3"/>
      <c r="AY29" s="3"/>
      <c r="AZ29" s="7"/>
      <c r="BA29" s="7"/>
      <c r="BB29" s="7"/>
      <c r="BC29" s="106" t="s">
        <v>120</v>
      </c>
      <c r="BD29" s="107"/>
      <c r="BE29" s="107"/>
      <c r="BF29" s="107"/>
      <c r="BG29" s="107"/>
      <c r="BH29" s="7"/>
      <c r="BI29" s="15">
        <f>INT(((((BI16+BI18+BI20+BI22)*60)+BK16+BK18+BK20+BK22)/60)/4)</f>
        <v>7</v>
      </c>
      <c r="BJ29" s="21" t="s">
        <v>16</v>
      </c>
      <c r="BK29" s="16">
        <f>((((((BI16+BI18+BI20+BI22)*60)+BK16+BK18+BK20+BK22)))-(BI29*60*4))/4</f>
        <v>50.75845697329396</v>
      </c>
      <c r="BL29" s="23"/>
      <c r="BM29" s="64">
        <v>176</v>
      </c>
      <c r="BN29" s="65">
        <v>156.2</v>
      </c>
      <c r="BO29" s="65">
        <v>285.25</v>
      </c>
      <c r="BP29" s="65">
        <v>155.2</v>
      </c>
      <c r="BQ29" s="65">
        <v>286.25</v>
      </c>
      <c r="BR29" s="65">
        <v>154.95</v>
      </c>
      <c r="BS29" s="65">
        <v>286.75</v>
      </c>
      <c r="BT29" s="65">
        <v>154.7</v>
      </c>
      <c r="BU29" s="65">
        <v>287.25</v>
      </c>
      <c r="BV29" s="65">
        <v>20.1</v>
      </c>
      <c r="BW29" s="65">
        <v>30.1</v>
      </c>
      <c r="BX29" s="65">
        <v>82.0999999999999</v>
      </c>
      <c r="BY29" s="65">
        <v>370.25</v>
      </c>
      <c r="BZ29" s="65">
        <v>82.7000000000002</v>
      </c>
      <c r="CA29" s="65">
        <v>83.0999999999999</v>
      </c>
      <c r="CB29" s="65">
        <v>84.0999999999999</v>
      </c>
      <c r="CC29" s="66">
        <f t="shared" si="0"/>
        <v>429</v>
      </c>
      <c r="CD29" s="75">
        <v>16.15</v>
      </c>
      <c r="CE29" s="67" t="s">
        <v>13</v>
      </c>
      <c r="CF29" s="67">
        <v>1</v>
      </c>
      <c r="CG29" s="67">
        <v>76</v>
      </c>
      <c r="CH29" s="67"/>
      <c r="CI29" s="67"/>
      <c r="CJ29" s="69">
        <v>3.1</v>
      </c>
      <c r="CK29" s="67"/>
      <c r="CL29" s="67">
        <v>21</v>
      </c>
      <c r="CM29" s="68">
        <v>80</v>
      </c>
      <c r="CN29" s="68"/>
      <c r="CO29" s="68"/>
      <c r="CP29" s="68"/>
      <c r="CQ29" s="68"/>
      <c r="CR29" s="68"/>
      <c r="CS29" s="68"/>
      <c r="CT29" s="68"/>
      <c r="CU29" s="68"/>
      <c r="CV29" s="68"/>
      <c r="CW29" s="68"/>
      <c r="CX29" s="68"/>
      <c r="CY29" s="68"/>
      <c r="CZ29" s="68"/>
      <c r="DA29" s="68"/>
      <c r="DB29" s="68"/>
      <c r="DC29" s="68"/>
      <c r="DD29" s="68"/>
      <c r="DE29" s="92">
        <v>89.5</v>
      </c>
    </row>
    <row r="30" spans="1:109" s="2" customFormat="1" ht="12.75" customHeight="1" thickBot="1">
      <c r="A30" s="7"/>
      <c r="B30" s="7"/>
      <c r="C30" s="7"/>
      <c r="D30" s="7"/>
      <c r="E30" s="7"/>
      <c r="F30" s="7"/>
      <c r="G30" s="7"/>
      <c r="H30" s="7"/>
      <c r="I30" s="7"/>
      <c r="J30" s="7"/>
      <c r="K30" s="7"/>
      <c r="L30" s="9"/>
      <c r="V30" s="9"/>
      <c r="Y30" s="142"/>
      <c r="Z30" s="143"/>
      <c r="AA30" s="143"/>
      <c r="AB30" s="143"/>
      <c r="AC30" s="143"/>
      <c r="AD30" s="143"/>
      <c r="AE30" s="143"/>
      <c r="AF30" s="143"/>
      <c r="AG30" s="143"/>
      <c r="AH30" s="143"/>
      <c r="AI30" s="143"/>
      <c r="AJ30" s="143"/>
      <c r="AK30" s="143"/>
      <c r="AL30" s="143"/>
      <c r="AM30" s="143"/>
      <c r="AN30" s="143"/>
      <c r="AO30" s="143"/>
      <c r="AP30" s="143"/>
      <c r="AQ30" s="144"/>
      <c r="AR30" s="7"/>
      <c r="AS30" s="7"/>
      <c r="AT30" s="7"/>
      <c r="AU30" s="7"/>
      <c r="AV30" s="3"/>
      <c r="AW30" s="3"/>
      <c r="AX30" s="3"/>
      <c r="AY30" s="3"/>
      <c r="AZ30" s="7"/>
      <c r="BA30" s="7"/>
      <c r="BB30" s="7"/>
      <c r="BC30" s="136" t="s">
        <v>115</v>
      </c>
      <c r="BD30" s="107"/>
      <c r="BE30" s="107"/>
      <c r="BF30" s="107"/>
      <c r="BG30" s="107"/>
      <c r="BH30" s="7"/>
      <c r="BI30" s="15">
        <f>INT(((((BI8+BI10+BI12+BI14+BI16+BI18+BI20+BI22)*60)+BK8+BK10+BK12+BK14+BK16+BK18+BK20+BK22)/60)/8)</f>
        <v>6</v>
      </c>
      <c r="BJ30" s="21" t="s">
        <v>16</v>
      </c>
      <c r="BK30" s="16">
        <f>((((((BI8+BI10+BI12+BI14+BI16+BI18+BI20+BI22)*60)+BK8+BK10+BK12+BK14+BK16+BK18+BK20+BK22)))-(BI30*60*8))/8</f>
        <v>55.94736646884286</v>
      </c>
      <c r="BL30" s="23"/>
      <c r="BM30" s="64">
        <v>177</v>
      </c>
      <c r="BN30" s="65">
        <v>156.4</v>
      </c>
      <c r="BO30" s="65">
        <v>285.5</v>
      </c>
      <c r="BP30" s="65">
        <v>155.4</v>
      </c>
      <c r="BQ30" s="65">
        <v>286.5</v>
      </c>
      <c r="BR30" s="65">
        <v>155.15</v>
      </c>
      <c r="BS30" s="65">
        <v>287</v>
      </c>
      <c r="BT30" s="65">
        <v>154.9</v>
      </c>
      <c r="BU30" s="65">
        <v>287.5</v>
      </c>
      <c r="BV30" s="65">
        <v>20.2</v>
      </c>
      <c r="BW30" s="65">
        <v>30.2</v>
      </c>
      <c r="BX30" s="65">
        <v>82.1999999999999</v>
      </c>
      <c r="BY30" s="65">
        <v>370.5</v>
      </c>
      <c r="BZ30" s="65">
        <v>82.8000000000002</v>
      </c>
      <c r="CA30" s="65">
        <v>83.1999999999999</v>
      </c>
      <c r="CB30" s="65">
        <v>84.1999999999999</v>
      </c>
      <c r="CC30" s="66">
        <f t="shared" si="0"/>
        <v>426</v>
      </c>
      <c r="CD30" s="66">
        <v>16.3</v>
      </c>
      <c r="CE30" s="67" t="s">
        <v>3</v>
      </c>
      <c r="CF30" s="67">
        <v>8</v>
      </c>
      <c r="CG30" s="67">
        <v>77</v>
      </c>
      <c r="CH30" s="67"/>
      <c r="CI30" s="67"/>
      <c r="CJ30" s="69">
        <v>3.2</v>
      </c>
      <c r="CK30" s="67"/>
      <c r="CL30" s="67">
        <v>22</v>
      </c>
      <c r="CM30" s="68">
        <v>81</v>
      </c>
      <c r="CN30" s="68"/>
      <c r="CO30" s="87" t="s">
        <v>52</v>
      </c>
      <c r="CP30" s="68"/>
      <c r="CQ30" s="68"/>
      <c r="CR30" s="68"/>
      <c r="CS30" s="68"/>
      <c r="CT30" s="68"/>
      <c r="CU30" s="68"/>
      <c r="CV30" s="68"/>
      <c r="CW30" s="68"/>
      <c r="CX30" s="68"/>
      <c r="CY30" s="68"/>
      <c r="CZ30" s="68"/>
      <c r="DA30" s="68"/>
      <c r="DB30" s="68"/>
      <c r="DC30" s="68"/>
      <c r="DD30" s="68"/>
      <c r="DE30" s="91">
        <v>90</v>
      </c>
    </row>
    <row r="31" spans="1:109" s="2" customFormat="1" ht="12.75" customHeight="1">
      <c r="A31" s="7"/>
      <c r="B31" s="7"/>
      <c r="C31" s="7"/>
      <c r="D31" s="7"/>
      <c r="E31" s="7"/>
      <c r="F31" s="7"/>
      <c r="M31" s="115" t="s">
        <v>80</v>
      </c>
      <c r="N31" s="116"/>
      <c r="O31" s="117"/>
      <c r="P31" s="23"/>
      <c r="Q31" s="101">
        <v>5</v>
      </c>
      <c r="R31" s="24" t="s">
        <v>16</v>
      </c>
      <c r="S31" s="100">
        <v>19.85</v>
      </c>
      <c r="T31" s="23"/>
      <c r="U31" s="13" t="s">
        <v>3</v>
      </c>
      <c r="V31" s="9"/>
      <c r="W31" s="7"/>
      <c r="X31" s="7"/>
      <c r="Y31" s="7"/>
      <c r="Z31" s="7"/>
      <c r="AA31" s="7"/>
      <c r="AB31" s="9"/>
      <c r="AC31" s="7"/>
      <c r="AD31" s="7"/>
      <c r="AE31" s="7"/>
      <c r="AF31" s="7"/>
      <c r="AG31" s="7"/>
      <c r="AH31" s="7"/>
      <c r="AI31" s="7"/>
      <c r="AJ31" s="7"/>
      <c r="AK31" s="7"/>
      <c r="AL31" s="7"/>
      <c r="AM31" s="7"/>
      <c r="AN31" s="7"/>
      <c r="AO31" s="7"/>
      <c r="AP31" s="9"/>
      <c r="AQ31" s="9"/>
      <c r="AR31" s="9"/>
      <c r="AS31" s="9"/>
      <c r="AT31" s="9"/>
      <c r="AU31" s="7"/>
      <c r="AV31" s="7"/>
      <c r="AW31" s="7"/>
      <c r="AX31" s="7"/>
      <c r="AY31" s="7"/>
      <c r="AZ31" s="7"/>
      <c r="BA31" s="7"/>
      <c r="BB31" s="7"/>
      <c r="BC31" s="28"/>
      <c r="BD31" s="3"/>
      <c r="BE31" s="3"/>
      <c r="BF31" s="3"/>
      <c r="BG31" s="3"/>
      <c r="BH31" s="7"/>
      <c r="BI31" s="23"/>
      <c r="BJ31" s="23"/>
      <c r="BK31" s="23"/>
      <c r="BL31" s="23"/>
      <c r="BM31" s="64">
        <v>178</v>
      </c>
      <c r="BN31" s="65">
        <v>156.6</v>
      </c>
      <c r="BO31" s="65">
        <v>285.75</v>
      </c>
      <c r="BP31" s="65">
        <v>155.6</v>
      </c>
      <c r="BQ31" s="65">
        <v>286.75</v>
      </c>
      <c r="BR31" s="65">
        <v>155.35</v>
      </c>
      <c r="BS31" s="65">
        <v>287.25</v>
      </c>
      <c r="BT31" s="65">
        <v>155.1</v>
      </c>
      <c r="BU31" s="65">
        <v>287.75</v>
      </c>
      <c r="BV31" s="65">
        <v>20.3</v>
      </c>
      <c r="BW31" s="65">
        <v>30.3</v>
      </c>
      <c r="BX31" s="65">
        <v>82.2999999999999</v>
      </c>
      <c r="BY31" s="65">
        <v>370.75</v>
      </c>
      <c r="BZ31" s="65">
        <v>82.9000000000002</v>
      </c>
      <c r="CA31" s="65">
        <v>83.2999999999999</v>
      </c>
      <c r="CB31" s="65">
        <v>84.2999999999999</v>
      </c>
      <c r="CC31" s="66">
        <f t="shared" si="0"/>
        <v>423</v>
      </c>
      <c r="CD31" s="75">
        <v>16.45</v>
      </c>
      <c r="CE31" s="67"/>
      <c r="CF31" s="67"/>
      <c r="CG31" s="67">
        <v>78</v>
      </c>
      <c r="CH31" s="67"/>
      <c r="CI31" s="67"/>
      <c r="CJ31" s="69">
        <v>3.3</v>
      </c>
      <c r="CK31" s="67"/>
      <c r="CL31" s="67">
        <v>23</v>
      </c>
      <c r="CM31" s="68">
        <v>82</v>
      </c>
      <c r="CN31" s="68"/>
      <c r="CO31" s="68"/>
      <c r="CP31" s="68"/>
      <c r="CQ31" s="68"/>
      <c r="CR31" s="68"/>
      <c r="CS31" s="68"/>
      <c r="CT31" s="68"/>
      <c r="CU31" s="68"/>
      <c r="CV31" s="68"/>
      <c r="CW31" s="68"/>
      <c r="CX31" s="68" t="s">
        <v>102</v>
      </c>
      <c r="CY31" s="68" t="s">
        <v>103</v>
      </c>
      <c r="CZ31" s="68"/>
      <c r="DA31" s="68"/>
      <c r="DB31" s="68"/>
      <c r="DC31" s="68"/>
      <c r="DD31" s="68"/>
      <c r="DE31" s="91">
        <v>150</v>
      </c>
    </row>
    <row r="32" spans="1:118" s="2" customFormat="1" ht="13.5" thickBot="1">
      <c r="A32" s="7"/>
      <c r="B32" s="7"/>
      <c r="C32" s="7"/>
      <c r="D32" s="7"/>
      <c r="E32" s="7"/>
      <c r="F32" s="7"/>
      <c r="M32" s="118"/>
      <c r="N32" s="127"/>
      <c r="O32" s="120"/>
      <c r="P32" s="23"/>
      <c r="Q32" s="101">
        <v>5</v>
      </c>
      <c r="R32" s="24" t="s">
        <v>16</v>
      </c>
      <c r="S32" s="100">
        <v>37.68</v>
      </c>
      <c r="T32" s="23"/>
      <c r="U32" s="14" t="s">
        <v>12</v>
      </c>
      <c r="V32" s="7"/>
      <c r="W32" s="7"/>
      <c r="X32" s="7"/>
      <c r="Y32" s="7"/>
      <c r="Z32" s="7"/>
      <c r="AA32" s="7"/>
      <c r="AB32" s="9"/>
      <c r="AC32" s="7"/>
      <c r="AD32" s="7"/>
      <c r="AE32" s="7"/>
      <c r="AF32" s="7"/>
      <c r="AG32" s="7"/>
      <c r="AH32" s="7"/>
      <c r="AI32" s="7"/>
      <c r="AJ32" s="7"/>
      <c r="AK32" s="7"/>
      <c r="AL32" s="7"/>
      <c r="AM32" s="7"/>
      <c r="AN32" s="7"/>
      <c r="AO32" s="7"/>
      <c r="AP32" s="7"/>
      <c r="AQ32" s="7"/>
      <c r="AR32" s="7"/>
      <c r="AS32" s="7"/>
      <c r="AT32" s="7"/>
      <c r="AU32" s="7"/>
      <c r="AV32" s="7"/>
      <c r="AW32" s="7"/>
      <c r="AX32" s="7"/>
      <c r="AY32" s="9"/>
      <c r="AZ32" s="9"/>
      <c r="BA32" s="14" t="s">
        <v>76</v>
      </c>
      <c r="BB32" s="9"/>
      <c r="BC32" s="20" t="s">
        <v>77</v>
      </c>
      <c r="BD32" s="9"/>
      <c r="BE32" s="9"/>
      <c r="BH32" s="7"/>
      <c r="BI32" s="7"/>
      <c r="BJ32" s="7"/>
      <c r="BK32" s="7"/>
      <c r="BL32" s="7"/>
      <c r="BM32" s="64">
        <v>179</v>
      </c>
      <c r="BN32" s="65">
        <v>156.8</v>
      </c>
      <c r="BO32" s="65">
        <v>286</v>
      </c>
      <c r="BP32" s="65">
        <v>155.8</v>
      </c>
      <c r="BQ32" s="65">
        <v>287</v>
      </c>
      <c r="BR32" s="65">
        <v>155.55</v>
      </c>
      <c r="BS32" s="65">
        <v>287.5</v>
      </c>
      <c r="BT32" s="65">
        <v>155.3</v>
      </c>
      <c r="BU32" s="65">
        <v>288</v>
      </c>
      <c r="BV32" s="65">
        <v>20.4</v>
      </c>
      <c r="BW32" s="65">
        <v>30.4</v>
      </c>
      <c r="BX32" s="65">
        <v>82.3999999999999</v>
      </c>
      <c r="BY32" s="65">
        <v>371</v>
      </c>
      <c r="BZ32" s="65">
        <v>83.0000000000002</v>
      </c>
      <c r="CA32" s="65">
        <v>83.3999999999999</v>
      </c>
      <c r="CB32" s="65">
        <v>84.3999999999999</v>
      </c>
      <c r="CC32" s="66">
        <f t="shared" si="0"/>
        <v>420</v>
      </c>
      <c r="CD32" s="66">
        <v>16.6</v>
      </c>
      <c r="CE32" s="67"/>
      <c r="CF32" s="67"/>
      <c r="CG32" s="67">
        <v>79</v>
      </c>
      <c r="CH32" s="67"/>
      <c r="CI32" s="67"/>
      <c r="CJ32" s="69">
        <v>3.4</v>
      </c>
      <c r="CK32" s="67"/>
      <c r="CL32" s="67">
        <v>24</v>
      </c>
      <c r="CM32" s="68">
        <v>83</v>
      </c>
      <c r="CN32" s="61"/>
      <c r="CO32" s="72" t="s">
        <v>53</v>
      </c>
      <c r="CP32" s="61"/>
      <c r="CQ32" s="61">
        <f>AS36</f>
        <v>0.5</v>
      </c>
      <c r="CR32" s="61"/>
      <c r="CS32" s="61"/>
      <c r="CT32" s="61"/>
      <c r="CU32" s="61"/>
      <c r="CV32" s="61"/>
      <c r="CW32" s="61" t="s">
        <v>101</v>
      </c>
      <c r="CX32" s="61">
        <v>30</v>
      </c>
      <c r="CY32" s="61">
        <f>AS35</f>
        <v>1</v>
      </c>
      <c r="CZ32" s="61"/>
      <c r="DA32" s="61"/>
      <c r="DB32" s="61"/>
      <c r="DC32" s="61"/>
      <c r="DD32" s="61"/>
      <c r="DE32" s="91">
        <v>150.5</v>
      </c>
      <c r="DF32" s="1"/>
      <c r="DG32" s="1"/>
      <c r="DH32" s="1"/>
      <c r="DI32" s="1"/>
      <c r="DJ32" s="1"/>
      <c r="DK32" s="1"/>
      <c r="DL32" s="1"/>
      <c r="DM32" s="1"/>
      <c r="DN32" s="1"/>
    </row>
    <row r="33" spans="1:109" ht="12.75" customHeight="1">
      <c r="A33" s="7"/>
      <c r="B33" s="7"/>
      <c r="C33" s="7"/>
      <c r="D33" s="7"/>
      <c r="E33" s="7"/>
      <c r="F33" s="7"/>
      <c r="M33" s="118"/>
      <c r="N33" s="127"/>
      <c r="O33" s="120"/>
      <c r="P33" s="23"/>
      <c r="Q33" s="101">
        <v>5</v>
      </c>
      <c r="R33" s="24" t="s">
        <v>16</v>
      </c>
      <c r="S33" s="100">
        <v>41.35</v>
      </c>
      <c r="T33" s="23"/>
      <c r="U33" s="14" t="s">
        <v>14</v>
      </c>
      <c r="V33" s="7"/>
      <c r="W33" s="128" t="s">
        <v>111</v>
      </c>
      <c r="X33" s="129"/>
      <c r="Y33" s="129"/>
      <c r="Z33" s="129"/>
      <c r="AA33" s="129"/>
      <c r="AB33" s="129"/>
      <c r="AC33" s="129"/>
      <c r="AD33" s="129"/>
      <c r="AE33" s="129"/>
      <c r="AF33" s="129"/>
      <c r="AG33" s="129"/>
      <c r="AH33" s="129"/>
      <c r="AI33" s="129"/>
      <c r="AJ33" s="129"/>
      <c r="AK33" s="129"/>
      <c r="AL33" s="129"/>
      <c r="AM33" s="129"/>
      <c r="AN33" s="129"/>
      <c r="AO33" s="129"/>
      <c r="AP33" s="129"/>
      <c r="AQ33" s="130"/>
      <c r="AR33" s="7"/>
      <c r="AS33" s="26">
        <v>492</v>
      </c>
      <c r="AT33" s="27"/>
      <c r="AU33" s="132" t="s">
        <v>107</v>
      </c>
      <c r="AV33" s="116"/>
      <c r="AW33" s="116"/>
      <c r="AX33" s="116"/>
      <c r="AY33" s="117"/>
      <c r="AZ33" s="3"/>
      <c r="BA33" s="95">
        <v>20</v>
      </c>
      <c r="BB33" s="96"/>
      <c r="BC33" s="95">
        <v>20</v>
      </c>
      <c r="BD33" s="9"/>
      <c r="BE33" s="13" t="s">
        <v>79</v>
      </c>
      <c r="BH33" s="7"/>
      <c r="BI33" s="7"/>
      <c r="BJ33" s="7"/>
      <c r="BK33" s="7"/>
      <c r="BL33" s="7"/>
      <c r="BM33" s="64">
        <v>180</v>
      </c>
      <c r="BN33" s="65">
        <v>157</v>
      </c>
      <c r="BO33" s="65">
        <v>286.25</v>
      </c>
      <c r="BP33" s="65">
        <v>156</v>
      </c>
      <c r="BQ33" s="65">
        <v>287.25</v>
      </c>
      <c r="BR33" s="65">
        <v>155.75</v>
      </c>
      <c r="BS33" s="65">
        <v>287.75</v>
      </c>
      <c r="BT33" s="65">
        <v>155.5</v>
      </c>
      <c r="BU33" s="65">
        <v>288.25</v>
      </c>
      <c r="BV33" s="65">
        <v>20.5</v>
      </c>
      <c r="BW33" s="65">
        <v>30.5</v>
      </c>
      <c r="BX33" s="65">
        <v>82.4999999999999</v>
      </c>
      <c r="BY33" s="65">
        <v>371.25</v>
      </c>
      <c r="BZ33" s="65">
        <v>83.1000000000002</v>
      </c>
      <c r="CA33" s="65">
        <v>83.4999999999999</v>
      </c>
      <c r="CB33" s="65">
        <v>84.4999999999999</v>
      </c>
      <c r="CC33" s="66">
        <f t="shared" si="0"/>
        <v>417</v>
      </c>
      <c r="CD33" s="75">
        <v>16.75</v>
      </c>
      <c r="CE33" s="67"/>
      <c r="CF33" s="67"/>
      <c r="CG33" s="67">
        <v>80</v>
      </c>
      <c r="CH33" s="67"/>
      <c r="CI33" s="67"/>
      <c r="CJ33" s="69">
        <v>3.5</v>
      </c>
      <c r="CK33" s="67"/>
      <c r="CL33" s="67">
        <v>25</v>
      </c>
      <c r="CM33" s="68">
        <v>84</v>
      </c>
      <c r="CN33" s="61"/>
      <c r="CO33" s="61" t="s">
        <v>54</v>
      </c>
      <c r="CP33" s="61"/>
      <c r="CQ33" s="88">
        <v>10</v>
      </c>
      <c r="CR33" s="61"/>
      <c r="CS33" s="61"/>
      <c r="CT33" s="61"/>
      <c r="CU33" s="61"/>
      <c r="CV33" s="61"/>
      <c r="CW33" s="61"/>
      <c r="CX33" s="61"/>
      <c r="CY33" s="61"/>
      <c r="CZ33" s="61"/>
      <c r="DA33" s="61"/>
      <c r="DB33" s="61"/>
      <c r="DC33" s="61"/>
      <c r="DD33" s="61"/>
      <c r="DE33" s="91">
        <v>151</v>
      </c>
    </row>
    <row r="34" spans="1:109" ht="12.75">
      <c r="A34" s="7"/>
      <c r="B34" s="7"/>
      <c r="C34" s="7"/>
      <c r="D34" s="7"/>
      <c r="E34" s="7"/>
      <c r="F34" s="7"/>
      <c r="M34" s="118"/>
      <c r="N34" s="127"/>
      <c r="O34" s="120"/>
      <c r="P34" s="23"/>
      <c r="Q34" s="101">
        <v>5</v>
      </c>
      <c r="R34" s="24" t="s">
        <v>16</v>
      </c>
      <c r="S34" s="100">
        <v>55</v>
      </c>
      <c r="T34" s="23"/>
      <c r="U34" s="25" t="s">
        <v>13</v>
      </c>
      <c r="V34" s="7"/>
      <c r="W34" s="131" t="s">
        <v>129</v>
      </c>
      <c r="X34" s="107"/>
      <c r="Y34" s="107"/>
      <c r="Z34" s="107"/>
      <c r="AA34" s="107"/>
      <c r="AB34" s="107"/>
      <c r="AC34" s="107"/>
      <c r="AD34" s="107"/>
      <c r="AE34" s="107"/>
      <c r="AF34" s="107"/>
      <c r="AG34" s="107"/>
      <c r="AH34" s="107"/>
      <c r="AI34" s="107"/>
      <c r="AJ34" s="107"/>
      <c r="AK34" s="107"/>
      <c r="AL34" s="107"/>
      <c r="AM34" s="107"/>
      <c r="AN34" s="107"/>
      <c r="AO34" s="107"/>
      <c r="AP34" s="107"/>
      <c r="AQ34" s="107"/>
      <c r="AR34" s="7"/>
      <c r="AS34" s="26">
        <v>3</v>
      </c>
      <c r="AT34" s="27"/>
      <c r="AU34" s="118"/>
      <c r="AV34" s="119"/>
      <c r="AW34" s="119"/>
      <c r="AX34" s="119"/>
      <c r="AY34" s="120"/>
      <c r="AZ34" s="3"/>
      <c r="BA34" s="95">
        <v>50</v>
      </c>
      <c r="BB34" s="97"/>
      <c r="BC34" s="95">
        <v>50</v>
      </c>
      <c r="BD34" s="7"/>
      <c r="BE34" s="13" t="s">
        <v>65</v>
      </c>
      <c r="BH34" s="7"/>
      <c r="BI34" s="7"/>
      <c r="BJ34" s="7"/>
      <c r="BK34" s="7"/>
      <c r="BL34" s="7"/>
      <c r="BM34" s="64">
        <v>181</v>
      </c>
      <c r="BN34" s="65">
        <v>157.2</v>
      </c>
      <c r="BO34" s="65">
        <v>286.5</v>
      </c>
      <c r="BP34" s="65">
        <v>156.2</v>
      </c>
      <c r="BQ34" s="65">
        <v>287.5</v>
      </c>
      <c r="BR34" s="65">
        <v>155.95</v>
      </c>
      <c r="BS34" s="65">
        <v>288</v>
      </c>
      <c r="BT34" s="65">
        <v>155.7</v>
      </c>
      <c r="BU34" s="65">
        <v>288.5</v>
      </c>
      <c r="BV34" s="65">
        <v>20.6</v>
      </c>
      <c r="BW34" s="65">
        <v>30.6</v>
      </c>
      <c r="BX34" s="65">
        <v>82.5999999999999</v>
      </c>
      <c r="BY34" s="65">
        <v>371.5</v>
      </c>
      <c r="BZ34" s="65">
        <v>83.2000000000002</v>
      </c>
      <c r="CA34" s="65">
        <v>83.5999999999999</v>
      </c>
      <c r="CB34" s="65">
        <v>84.5999999999999</v>
      </c>
      <c r="CC34" s="66">
        <f t="shared" si="0"/>
        <v>414</v>
      </c>
      <c r="CD34" s="66">
        <v>16.9</v>
      </c>
      <c r="CE34" s="67"/>
      <c r="CF34" s="67"/>
      <c r="CG34" s="67">
        <v>81</v>
      </c>
      <c r="CH34" s="67"/>
      <c r="CI34" s="67"/>
      <c r="CJ34" s="69">
        <v>3.6</v>
      </c>
      <c r="CK34" s="67"/>
      <c r="CL34" s="67">
        <v>26</v>
      </c>
      <c r="CM34" s="68">
        <v>85</v>
      </c>
      <c r="CN34" s="61"/>
      <c r="CO34" s="61"/>
      <c r="CP34" s="61"/>
      <c r="CQ34" s="61"/>
      <c r="CR34" s="61"/>
      <c r="CS34" s="61"/>
      <c r="CT34" s="61"/>
      <c r="CU34" s="61"/>
      <c r="CV34" s="61"/>
      <c r="CW34" s="61"/>
      <c r="CX34" s="61"/>
      <c r="CY34" s="61"/>
      <c r="CZ34" s="61"/>
      <c r="DA34" s="61"/>
      <c r="DB34" s="61"/>
      <c r="DC34" s="61"/>
      <c r="DD34" s="61"/>
      <c r="DE34" s="91">
        <v>151.5</v>
      </c>
    </row>
    <row r="35" spans="1:109" ht="12.75">
      <c r="A35" s="7"/>
      <c r="B35" s="7"/>
      <c r="C35" s="7"/>
      <c r="D35" s="7"/>
      <c r="E35" s="7"/>
      <c r="F35" s="7"/>
      <c r="M35" s="118"/>
      <c r="N35" s="127"/>
      <c r="O35" s="120"/>
      <c r="P35" s="23"/>
      <c r="Q35" s="101">
        <v>5</v>
      </c>
      <c r="R35" s="24" t="s">
        <v>16</v>
      </c>
      <c r="S35" s="100">
        <v>58.96</v>
      </c>
      <c r="T35" s="23"/>
      <c r="U35" s="25" t="s">
        <v>9</v>
      </c>
      <c r="V35" s="7"/>
      <c r="W35" s="107" t="s">
        <v>112</v>
      </c>
      <c r="X35" s="107"/>
      <c r="Y35" s="107"/>
      <c r="Z35" s="107"/>
      <c r="AA35" s="107"/>
      <c r="AB35" s="107"/>
      <c r="AC35" s="107"/>
      <c r="AD35" s="107"/>
      <c r="AE35" s="107"/>
      <c r="AF35" s="107"/>
      <c r="AG35" s="107"/>
      <c r="AH35" s="107"/>
      <c r="AI35" s="107"/>
      <c r="AJ35" s="107"/>
      <c r="AK35" s="107"/>
      <c r="AL35" s="107"/>
      <c r="AM35" s="107"/>
      <c r="AN35" s="107"/>
      <c r="AO35" s="107"/>
      <c r="AP35" s="107"/>
      <c r="AQ35" s="107"/>
      <c r="AR35" s="7"/>
      <c r="AS35" s="26">
        <v>1</v>
      </c>
      <c r="AT35" s="27"/>
      <c r="AU35" s="118"/>
      <c r="AV35" s="119"/>
      <c r="AW35" s="119"/>
      <c r="AX35" s="119"/>
      <c r="AY35" s="120"/>
      <c r="AZ35" s="3"/>
      <c r="BA35" s="95">
        <v>61</v>
      </c>
      <c r="BB35" s="97"/>
      <c r="BC35" s="95">
        <v>61</v>
      </c>
      <c r="BD35" s="7"/>
      <c r="BE35" s="13" t="s">
        <v>135</v>
      </c>
      <c r="BH35" s="7"/>
      <c r="BI35" s="7"/>
      <c r="BJ35" s="7"/>
      <c r="BK35" s="7"/>
      <c r="BL35" s="7"/>
      <c r="BM35" s="64">
        <v>182</v>
      </c>
      <c r="BN35" s="65">
        <v>157.4</v>
      </c>
      <c r="BO35" s="65">
        <v>286.75</v>
      </c>
      <c r="BP35" s="65">
        <v>156.4</v>
      </c>
      <c r="BQ35" s="65">
        <v>287.75</v>
      </c>
      <c r="BR35" s="65">
        <v>156.15</v>
      </c>
      <c r="BS35" s="65">
        <v>288.25</v>
      </c>
      <c r="BT35" s="65">
        <v>155.9</v>
      </c>
      <c r="BU35" s="65">
        <v>288.75</v>
      </c>
      <c r="BV35" s="65">
        <v>20.7</v>
      </c>
      <c r="BW35" s="65">
        <v>30.7</v>
      </c>
      <c r="BX35" s="65">
        <v>82.6999999999998</v>
      </c>
      <c r="BY35" s="65">
        <v>371.75</v>
      </c>
      <c r="BZ35" s="65">
        <v>83.3000000000002</v>
      </c>
      <c r="CA35" s="65">
        <v>83.6999999999998</v>
      </c>
      <c r="CB35" s="65">
        <v>84.6999999999998</v>
      </c>
      <c r="CC35" s="66">
        <f t="shared" si="0"/>
        <v>411</v>
      </c>
      <c r="CD35" s="75">
        <v>17.05</v>
      </c>
      <c r="CE35" s="67"/>
      <c r="CF35" s="67"/>
      <c r="CG35" s="67">
        <v>82</v>
      </c>
      <c r="CH35" s="67"/>
      <c r="CI35" s="67"/>
      <c r="CJ35" s="69">
        <v>3.7</v>
      </c>
      <c r="CK35" s="67"/>
      <c r="CL35" s="67">
        <v>27</v>
      </c>
      <c r="CM35" s="68">
        <v>86</v>
      </c>
      <c r="CN35" s="61"/>
      <c r="CO35" s="88" t="s">
        <v>56</v>
      </c>
      <c r="CP35" s="61"/>
      <c r="CQ35" s="61"/>
      <c r="CR35" s="61"/>
      <c r="CS35" s="61"/>
      <c r="CT35" s="61"/>
      <c r="CU35" s="61"/>
      <c r="CV35" s="61"/>
      <c r="CW35" s="61"/>
      <c r="CX35" s="61"/>
      <c r="CY35" s="61"/>
      <c r="CZ35" s="61"/>
      <c r="DA35" s="61"/>
      <c r="DB35" s="61"/>
      <c r="DC35" s="61"/>
      <c r="DD35" s="61"/>
      <c r="DE35" s="91">
        <v>152</v>
      </c>
    </row>
    <row r="36" spans="1:109" ht="12.75">
      <c r="A36" s="7"/>
      <c r="B36" s="7"/>
      <c r="C36" s="7"/>
      <c r="D36" s="7"/>
      <c r="E36" s="7"/>
      <c r="F36" s="7"/>
      <c r="M36" s="118"/>
      <c r="N36" s="127"/>
      <c r="O36" s="120"/>
      <c r="P36" s="23"/>
      <c r="Q36" s="101">
        <v>6</v>
      </c>
      <c r="R36" s="24" t="s">
        <v>16</v>
      </c>
      <c r="S36" s="100">
        <v>4.37</v>
      </c>
      <c r="T36" s="23"/>
      <c r="U36" s="25" t="s">
        <v>11</v>
      </c>
      <c r="V36" s="7"/>
      <c r="W36" s="107" t="s">
        <v>106</v>
      </c>
      <c r="X36" s="107"/>
      <c r="Y36" s="107"/>
      <c r="Z36" s="107"/>
      <c r="AA36" s="107"/>
      <c r="AB36" s="107"/>
      <c r="AC36" s="107"/>
      <c r="AD36" s="107"/>
      <c r="AE36" s="107"/>
      <c r="AF36" s="107"/>
      <c r="AG36" s="107"/>
      <c r="AH36" s="107"/>
      <c r="AI36" s="107"/>
      <c r="AJ36" s="107"/>
      <c r="AK36" s="107"/>
      <c r="AL36" s="107"/>
      <c r="AM36" s="107"/>
      <c r="AN36" s="107"/>
      <c r="AO36" s="107"/>
      <c r="AP36" s="107"/>
      <c r="AQ36" s="107"/>
      <c r="AR36" s="7"/>
      <c r="AS36" s="26">
        <v>0.5</v>
      </c>
      <c r="AT36" s="27"/>
      <c r="AU36" s="118"/>
      <c r="AV36" s="119"/>
      <c r="AW36" s="119"/>
      <c r="AX36" s="119"/>
      <c r="AY36" s="120"/>
      <c r="AZ36" s="3"/>
      <c r="BA36" s="95">
        <v>72</v>
      </c>
      <c r="BB36" s="97"/>
      <c r="BC36" s="95">
        <v>72</v>
      </c>
      <c r="BD36" s="7"/>
      <c r="BE36" s="13" t="s">
        <v>136</v>
      </c>
      <c r="BH36" s="7"/>
      <c r="BI36" s="7"/>
      <c r="BJ36" s="7"/>
      <c r="BK36" s="7"/>
      <c r="BL36" s="7"/>
      <c r="BM36" s="64">
        <v>183</v>
      </c>
      <c r="BN36" s="65">
        <v>157.6</v>
      </c>
      <c r="BO36" s="65">
        <v>287</v>
      </c>
      <c r="BP36" s="65">
        <v>156.6</v>
      </c>
      <c r="BQ36" s="65">
        <v>288</v>
      </c>
      <c r="BR36" s="65">
        <v>156.35</v>
      </c>
      <c r="BS36" s="65">
        <v>288.5</v>
      </c>
      <c r="BT36" s="65">
        <v>156.1</v>
      </c>
      <c r="BU36" s="65">
        <v>289</v>
      </c>
      <c r="BV36" s="65">
        <v>20.8</v>
      </c>
      <c r="BW36" s="65">
        <v>30.8</v>
      </c>
      <c r="BX36" s="65">
        <v>82.7999999999998</v>
      </c>
      <c r="BY36" s="65">
        <v>372</v>
      </c>
      <c r="BZ36" s="65">
        <v>83.4000000000002</v>
      </c>
      <c r="CA36" s="65">
        <v>83.7999999999998</v>
      </c>
      <c r="CB36" s="65">
        <v>84.7999999999998</v>
      </c>
      <c r="CC36" s="66">
        <f t="shared" si="0"/>
        <v>408</v>
      </c>
      <c r="CD36" s="66">
        <v>17.2</v>
      </c>
      <c r="CE36" s="60"/>
      <c r="CF36" s="60"/>
      <c r="CG36" s="67">
        <v>83</v>
      </c>
      <c r="CH36" s="60"/>
      <c r="CI36" s="60"/>
      <c r="CJ36" s="69">
        <v>3.8</v>
      </c>
      <c r="CK36" s="60"/>
      <c r="CL36" s="67">
        <v>28</v>
      </c>
      <c r="CM36" s="68">
        <v>87</v>
      </c>
      <c r="CN36" s="61"/>
      <c r="CO36" s="61"/>
      <c r="CP36" s="61"/>
      <c r="CQ36" s="61"/>
      <c r="CR36" s="61"/>
      <c r="CS36" s="61"/>
      <c r="CT36" s="61"/>
      <c r="CU36" s="61"/>
      <c r="CV36" s="61"/>
      <c r="CW36" s="61"/>
      <c r="CX36" s="61"/>
      <c r="CY36" s="61"/>
      <c r="CZ36" s="61"/>
      <c r="DA36" s="61"/>
      <c r="DB36" s="61"/>
      <c r="DC36" s="61"/>
      <c r="DD36" s="61"/>
      <c r="DE36" s="91">
        <v>152.5</v>
      </c>
    </row>
    <row r="37" spans="1:109" ht="12.75">
      <c r="A37" s="7"/>
      <c r="B37" s="7"/>
      <c r="C37" s="7"/>
      <c r="D37" s="7"/>
      <c r="E37" s="7"/>
      <c r="F37" s="7"/>
      <c r="M37" s="118"/>
      <c r="N37" s="127"/>
      <c r="O37" s="120"/>
      <c r="P37" s="23"/>
      <c r="Q37" s="101">
        <v>6</v>
      </c>
      <c r="R37" s="24" t="s">
        <v>16</v>
      </c>
      <c r="S37" s="100">
        <v>14.27</v>
      </c>
      <c r="T37" s="23"/>
      <c r="U37" s="25" t="s">
        <v>10</v>
      </c>
      <c r="V37" s="7"/>
      <c r="W37" s="133" t="s">
        <v>130</v>
      </c>
      <c r="X37" s="134"/>
      <c r="Y37" s="134"/>
      <c r="Z37" s="134"/>
      <c r="AA37" s="134"/>
      <c r="AB37" s="134"/>
      <c r="AC37" s="134"/>
      <c r="AD37" s="134"/>
      <c r="AE37" s="134"/>
      <c r="AF37" s="134"/>
      <c r="AG37" s="134"/>
      <c r="AH37" s="134"/>
      <c r="AI37" s="134"/>
      <c r="AJ37" s="134"/>
      <c r="AK37" s="134"/>
      <c r="AL37" s="134"/>
      <c r="AM37" s="134"/>
      <c r="AN37" s="134"/>
      <c r="AO37" s="134"/>
      <c r="AP37" s="134"/>
      <c r="AQ37" s="135"/>
      <c r="AR37" s="7"/>
      <c r="AS37" s="99">
        <v>3</v>
      </c>
      <c r="AT37" s="7"/>
      <c r="AU37" s="118"/>
      <c r="AV37" s="119"/>
      <c r="AW37" s="119"/>
      <c r="AX37" s="119"/>
      <c r="AY37" s="120"/>
      <c r="AZ37" s="3"/>
      <c r="BA37" s="95">
        <v>89</v>
      </c>
      <c r="BB37" s="97"/>
      <c r="BC37" s="95">
        <v>89</v>
      </c>
      <c r="BD37" s="7"/>
      <c r="BE37" s="13" t="s">
        <v>137</v>
      </c>
      <c r="BH37" s="7"/>
      <c r="BI37" s="7"/>
      <c r="BJ37" s="7"/>
      <c r="BK37" s="7"/>
      <c r="BL37" s="7"/>
      <c r="BM37" s="64">
        <v>184</v>
      </c>
      <c r="BN37" s="65">
        <v>157.8</v>
      </c>
      <c r="BO37" s="65">
        <v>287.25</v>
      </c>
      <c r="BP37" s="65">
        <v>156.8</v>
      </c>
      <c r="BQ37" s="65">
        <v>288.25</v>
      </c>
      <c r="BR37" s="65">
        <v>156.55</v>
      </c>
      <c r="BS37" s="65">
        <v>288.75</v>
      </c>
      <c r="BT37" s="65">
        <v>156.3</v>
      </c>
      <c r="BU37" s="65">
        <v>289.25</v>
      </c>
      <c r="BV37" s="65">
        <v>20.9</v>
      </c>
      <c r="BW37" s="65">
        <v>30.9</v>
      </c>
      <c r="BX37" s="65">
        <v>82.8999999999998</v>
      </c>
      <c r="BY37" s="65">
        <v>372.25</v>
      </c>
      <c r="BZ37" s="65">
        <v>83.5000000000002</v>
      </c>
      <c r="CA37" s="65">
        <v>83.8999999999998</v>
      </c>
      <c r="CB37" s="65">
        <v>84.8999999999998</v>
      </c>
      <c r="CC37" s="66">
        <f t="shared" si="0"/>
        <v>405</v>
      </c>
      <c r="CD37" s="75">
        <v>17.35</v>
      </c>
      <c r="CE37" s="60"/>
      <c r="CF37" s="60"/>
      <c r="CG37" s="67">
        <v>84</v>
      </c>
      <c r="CH37" s="60"/>
      <c r="CI37" s="60"/>
      <c r="CJ37" s="69">
        <v>3.9</v>
      </c>
      <c r="CK37" s="60"/>
      <c r="CL37" s="67">
        <v>29</v>
      </c>
      <c r="CM37" s="68">
        <v>88</v>
      </c>
      <c r="CN37" s="61"/>
      <c r="CO37" s="63" t="s">
        <v>57</v>
      </c>
      <c r="CP37" s="61"/>
      <c r="CQ37" s="61"/>
      <c r="CR37" s="61"/>
      <c r="CS37" s="61"/>
      <c r="CT37" s="61"/>
      <c r="CU37" s="61"/>
      <c r="CV37" s="61"/>
      <c r="CW37" s="61"/>
      <c r="CX37" s="61"/>
      <c r="CY37" s="61"/>
      <c r="CZ37" s="61"/>
      <c r="DA37" s="61"/>
      <c r="DB37" s="61"/>
      <c r="DC37" s="61"/>
      <c r="DD37" s="61"/>
      <c r="DE37" s="91">
        <v>153</v>
      </c>
    </row>
    <row r="38" spans="1:109" ht="13.5" thickBot="1">
      <c r="A38" s="7"/>
      <c r="B38" s="7"/>
      <c r="C38" s="7"/>
      <c r="D38" s="7"/>
      <c r="E38" s="7"/>
      <c r="F38" s="7"/>
      <c r="M38" s="121"/>
      <c r="N38" s="122"/>
      <c r="O38" s="123"/>
      <c r="P38" s="23"/>
      <c r="Q38" s="101">
        <v>6</v>
      </c>
      <c r="R38" s="24" t="s">
        <v>16</v>
      </c>
      <c r="S38" s="100">
        <v>31.67</v>
      </c>
      <c r="T38" s="23"/>
      <c r="U38" s="25" t="s">
        <v>6</v>
      </c>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121"/>
      <c r="AV38" s="122"/>
      <c r="AW38" s="122"/>
      <c r="AX38" s="122"/>
      <c r="AY38" s="123"/>
      <c r="AZ38" s="3"/>
      <c r="BA38" s="95">
        <v>400</v>
      </c>
      <c r="BB38" s="98"/>
      <c r="BC38" s="95">
        <v>400</v>
      </c>
      <c r="BD38" s="7"/>
      <c r="BE38" s="13" t="s">
        <v>138</v>
      </c>
      <c r="BH38" s="7"/>
      <c r="BI38" s="7"/>
      <c r="BJ38" s="7"/>
      <c r="BK38" s="7"/>
      <c r="BL38" s="7"/>
      <c r="BM38" s="64">
        <v>185</v>
      </c>
      <c r="BN38" s="65">
        <v>158</v>
      </c>
      <c r="BO38" s="65">
        <v>287.5</v>
      </c>
      <c r="BP38" s="65">
        <v>157</v>
      </c>
      <c r="BQ38" s="65">
        <v>288.5</v>
      </c>
      <c r="BR38" s="65">
        <v>156.75</v>
      </c>
      <c r="BS38" s="65">
        <v>289</v>
      </c>
      <c r="BT38" s="65">
        <v>156.5</v>
      </c>
      <c r="BU38" s="65">
        <v>289.5</v>
      </c>
      <c r="BV38" s="65">
        <v>21</v>
      </c>
      <c r="BW38" s="65">
        <v>31</v>
      </c>
      <c r="BX38" s="65">
        <v>82.9999999999998</v>
      </c>
      <c r="BY38" s="65">
        <v>372.5</v>
      </c>
      <c r="BZ38" s="65">
        <v>83.6000000000003</v>
      </c>
      <c r="CA38" s="65">
        <v>83.9999999999998</v>
      </c>
      <c r="CB38" s="65">
        <v>84.9999999999998</v>
      </c>
      <c r="CC38" s="66">
        <f t="shared" si="0"/>
        <v>402</v>
      </c>
      <c r="CD38" s="66">
        <v>17.5</v>
      </c>
      <c r="CE38" s="60"/>
      <c r="CF38" s="60"/>
      <c r="CG38" s="67">
        <v>85</v>
      </c>
      <c r="CH38" s="60"/>
      <c r="CI38" s="60"/>
      <c r="CJ38" s="69">
        <v>4</v>
      </c>
      <c r="CK38" s="60"/>
      <c r="CL38" s="67">
        <v>30</v>
      </c>
      <c r="CM38" s="68">
        <v>89</v>
      </c>
      <c r="CN38" s="61"/>
      <c r="CO38" s="63" t="s">
        <v>58</v>
      </c>
      <c r="CP38" s="61" t="s">
        <v>108</v>
      </c>
      <c r="CQ38" s="61"/>
      <c r="CR38" s="61"/>
      <c r="CS38" s="61"/>
      <c r="CT38" s="61"/>
      <c r="CU38" s="61"/>
      <c r="CV38" s="61"/>
      <c r="CW38" s="61"/>
      <c r="CX38" s="61"/>
      <c r="CY38" s="61"/>
      <c r="CZ38" s="61"/>
      <c r="DA38" s="61"/>
      <c r="DB38" s="61"/>
      <c r="DC38" s="61"/>
      <c r="DD38" s="61"/>
      <c r="DE38" s="91">
        <v>153.5</v>
      </c>
    </row>
    <row r="39" spans="1:109" ht="12.75">
      <c r="A39" s="7"/>
      <c r="B39" s="7"/>
      <c r="C39" s="7"/>
      <c r="D39" s="7"/>
      <c r="E39" s="7"/>
      <c r="F39" s="7"/>
      <c r="G39" s="7"/>
      <c r="H39" s="7"/>
      <c r="I39" s="7"/>
      <c r="J39" s="7"/>
      <c r="K39" s="7"/>
      <c r="L39" s="7"/>
      <c r="M39" s="7"/>
      <c r="N39" s="7"/>
      <c r="O39" s="23"/>
      <c r="P39" s="23"/>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64">
        <v>186</v>
      </c>
      <c r="BN39" s="65">
        <v>158.2</v>
      </c>
      <c r="BO39" s="65">
        <v>287.75</v>
      </c>
      <c r="BP39" s="65">
        <v>157.2</v>
      </c>
      <c r="BQ39" s="65">
        <v>288.75</v>
      </c>
      <c r="BR39" s="65">
        <v>156.95</v>
      </c>
      <c r="BS39" s="65">
        <v>289.25</v>
      </c>
      <c r="BT39" s="65">
        <v>156.7</v>
      </c>
      <c r="BU39" s="65">
        <v>289.75</v>
      </c>
      <c r="BV39" s="65">
        <v>21.1</v>
      </c>
      <c r="BW39" s="65">
        <v>31.1</v>
      </c>
      <c r="BX39" s="65">
        <v>83.0999999999998</v>
      </c>
      <c r="BY39" s="65">
        <v>372.75</v>
      </c>
      <c r="BZ39" s="65">
        <v>83.7000000000003</v>
      </c>
      <c r="CA39" s="65">
        <v>84.0999999999998</v>
      </c>
      <c r="CB39" s="65">
        <v>85.0999999999998</v>
      </c>
      <c r="CC39" s="66">
        <f t="shared" si="0"/>
        <v>399</v>
      </c>
      <c r="CD39" s="75">
        <v>17.65</v>
      </c>
      <c r="CE39" s="60"/>
      <c r="CF39" s="60"/>
      <c r="CG39" s="67">
        <v>86</v>
      </c>
      <c r="CH39" s="60"/>
      <c r="CI39" s="60"/>
      <c r="CJ39" s="69">
        <v>4.1</v>
      </c>
      <c r="CK39" s="60"/>
      <c r="CL39" s="67">
        <v>31</v>
      </c>
      <c r="CM39" s="68">
        <v>90</v>
      </c>
      <c r="CN39" s="61"/>
      <c r="CO39" s="63" t="s">
        <v>59</v>
      </c>
      <c r="CP39" s="61" t="s">
        <v>109</v>
      </c>
      <c r="CQ39" s="61"/>
      <c r="CR39" s="61"/>
      <c r="CS39" s="61"/>
      <c r="CT39" s="61"/>
      <c r="CU39" s="61"/>
      <c r="CV39" s="61"/>
      <c r="CW39" s="61"/>
      <c r="CX39" s="61"/>
      <c r="CY39" s="61"/>
      <c r="CZ39" s="61"/>
      <c r="DA39" s="61"/>
      <c r="DB39" s="61"/>
      <c r="DC39" s="61"/>
      <c r="DD39" s="61"/>
      <c r="DE39" s="91">
        <v>154</v>
      </c>
    </row>
    <row r="40" spans="65:109" ht="12.75">
      <c r="BM40" s="64">
        <v>187</v>
      </c>
      <c r="BN40" s="65">
        <v>158.4</v>
      </c>
      <c r="BO40" s="65">
        <v>288</v>
      </c>
      <c r="BP40" s="65">
        <v>157.4</v>
      </c>
      <c r="BQ40" s="65">
        <v>289</v>
      </c>
      <c r="BR40" s="65">
        <v>157.15</v>
      </c>
      <c r="BS40" s="65">
        <v>289.5</v>
      </c>
      <c r="BT40" s="65">
        <v>156.9</v>
      </c>
      <c r="BU40" s="65">
        <v>290</v>
      </c>
      <c r="BV40" s="65">
        <v>21.2</v>
      </c>
      <c r="BW40" s="65">
        <v>31.2</v>
      </c>
      <c r="BX40" s="65">
        <v>83.1999999999998</v>
      </c>
      <c r="BY40" s="65">
        <v>373</v>
      </c>
      <c r="BZ40" s="65">
        <v>83.8000000000003</v>
      </c>
      <c r="CA40" s="65">
        <v>84.1999999999998</v>
      </c>
      <c r="CB40" s="65">
        <v>85.1999999999998</v>
      </c>
      <c r="CC40" s="66">
        <f t="shared" si="0"/>
        <v>396</v>
      </c>
      <c r="CD40" s="66">
        <v>17.8</v>
      </c>
      <c r="CE40" s="60"/>
      <c r="CF40" s="60"/>
      <c r="CG40" s="67">
        <v>87</v>
      </c>
      <c r="CH40" s="60"/>
      <c r="CI40" s="60"/>
      <c r="CJ40" s="69">
        <v>4.2</v>
      </c>
      <c r="CK40" s="60"/>
      <c r="CL40" s="67">
        <v>32</v>
      </c>
      <c r="CM40" s="68">
        <v>91</v>
      </c>
      <c r="CN40" s="61"/>
      <c r="CO40" s="63" t="s">
        <v>60</v>
      </c>
      <c r="CP40" s="61" t="s">
        <v>110</v>
      </c>
      <c r="CQ40" s="61"/>
      <c r="CR40" s="61"/>
      <c r="CS40" s="61"/>
      <c r="CT40" s="61"/>
      <c r="CU40" s="61"/>
      <c r="CV40" s="61"/>
      <c r="CW40" s="61"/>
      <c r="CX40" s="61"/>
      <c r="CY40" s="61"/>
      <c r="CZ40" s="61"/>
      <c r="DA40" s="61"/>
      <c r="DB40" s="61"/>
      <c r="DC40" s="61"/>
      <c r="DD40" s="61"/>
      <c r="DE40" s="91">
        <v>154.5</v>
      </c>
    </row>
    <row r="41" spans="65:109" ht="12.75">
      <c r="BM41" s="64">
        <v>188</v>
      </c>
      <c r="BN41" s="65">
        <v>158.6</v>
      </c>
      <c r="BO41" s="65">
        <v>288.25</v>
      </c>
      <c r="BP41" s="65">
        <v>157.6</v>
      </c>
      <c r="BQ41" s="65">
        <v>289.25</v>
      </c>
      <c r="BR41" s="65">
        <v>157.35</v>
      </c>
      <c r="BS41" s="65">
        <v>289.75</v>
      </c>
      <c r="BT41" s="65">
        <v>157.1</v>
      </c>
      <c r="BU41" s="65">
        <v>290.25</v>
      </c>
      <c r="BV41" s="65">
        <v>21.3000000000001</v>
      </c>
      <c r="BW41" s="65">
        <v>31.3000000000001</v>
      </c>
      <c r="BX41" s="65">
        <v>83.2999999999998</v>
      </c>
      <c r="BY41" s="65">
        <v>373.25</v>
      </c>
      <c r="BZ41" s="65">
        <v>83.9000000000003</v>
      </c>
      <c r="CA41" s="65">
        <v>84.2999999999998</v>
      </c>
      <c r="CB41" s="65">
        <v>85.2999999999998</v>
      </c>
      <c r="CC41" s="66">
        <f t="shared" si="0"/>
        <v>393</v>
      </c>
      <c r="CD41" s="75">
        <v>17.95</v>
      </c>
      <c r="CE41" s="60"/>
      <c r="CF41" s="60"/>
      <c r="CG41" s="67">
        <v>88</v>
      </c>
      <c r="CH41" s="60"/>
      <c r="CI41" s="60"/>
      <c r="CJ41" s="69">
        <v>4.3</v>
      </c>
      <c r="CK41" s="60"/>
      <c r="CL41" s="67">
        <v>33</v>
      </c>
      <c r="CM41" s="68">
        <v>92</v>
      </c>
      <c r="CN41" s="61"/>
      <c r="CO41" s="61"/>
      <c r="CP41" s="61"/>
      <c r="CQ41" s="61"/>
      <c r="CR41" s="61"/>
      <c r="CS41" s="61"/>
      <c r="CT41" s="61"/>
      <c r="CU41" s="61"/>
      <c r="CV41" s="61"/>
      <c r="CW41" s="61"/>
      <c r="CX41" s="61"/>
      <c r="CY41" s="61"/>
      <c r="CZ41" s="61"/>
      <c r="DA41" s="61"/>
      <c r="DB41" s="61"/>
      <c r="DC41" s="61"/>
      <c r="DD41" s="61"/>
      <c r="DE41" s="91">
        <v>155</v>
      </c>
    </row>
    <row r="42" spans="65:109" ht="12.75">
      <c r="BM42" s="64">
        <v>189</v>
      </c>
      <c r="BN42" s="65">
        <v>158.8</v>
      </c>
      <c r="BO42" s="65">
        <v>288.5</v>
      </c>
      <c r="BP42" s="65">
        <v>157.8</v>
      </c>
      <c r="BQ42" s="65">
        <v>289.5</v>
      </c>
      <c r="BR42" s="65">
        <v>157.55</v>
      </c>
      <c r="BS42" s="65">
        <v>290</v>
      </c>
      <c r="BT42" s="65">
        <v>157.3</v>
      </c>
      <c r="BU42" s="65">
        <v>290.5</v>
      </c>
      <c r="BV42" s="65">
        <v>21.4</v>
      </c>
      <c r="BW42" s="65">
        <v>31.4</v>
      </c>
      <c r="BX42" s="65">
        <v>83.3999999999998</v>
      </c>
      <c r="BY42" s="65">
        <v>373.5</v>
      </c>
      <c r="BZ42" s="65">
        <v>84.0000000000003</v>
      </c>
      <c r="CA42" s="65">
        <v>84.3999999999998</v>
      </c>
      <c r="CB42" s="65">
        <v>85.3999999999998</v>
      </c>
      <c r="CC42" s="66">
        <f t="shared" si="0"/>
        <v>390</v>
      </c>
      <c r="CD42" s="66">
        <v>18.1</v>
      </c>
      <c r="CE42" s="60"/>
      <c r="CF42" s="60"/>
      <c r="CG42" s="67">
        <v>89</v>
      </c>
      <c r="CH42" s="60"/>
      <c r="CI42" s="60"/>
      <c r="CJ42" s="69">
        <v>4.4</v>
      </c>
      <c r="CK42" s="60"/>
      <c r="CL42" s="67">
        <v>34</v>
      </c>
      <c r="CM42" s="68">
        <v>93</v>
      </c>
      <c r="CN42" s="61"/>
      <c r="CO42" s="61"/>
      <c r="CP42" s="61"/>
      <c r="CQ42" s="61"/>
      <c r="CR42" s="61"/>
      <c r="CS42" s="61"/>
      <c r="CT42" s="61"/>
      <c r="CU42" s="61"/>
      <c r="CV42" s="61"/>
      <c r="CW42" s="61"/>
      <c r="CX42" s="61"/>
      <c r="CY42" s="61"/>
      <c r="CZ42" s="61"/>
      <c r="DA42" s="61"/>
      <c r="DB42" s="61"/>
      <c r="DC42" s="61"/>
      <c r="DD42" s="61"/>
      <c r="DE42" s="91">
        <v>155.5</v>
      </c>
    </row>
    <row r="43" spans="65:109" ht="12.75">
      <c r="BM43" s="64">
        <v>190</v>
      </c>
      <c r="BN43" s="65">
        <v>159</v>
      </c>
      <c r="BO43" s="65">
        <v>288.75</v>
      </c>
      <c r="BP43" s="65">
        <v>158</v>
      </c>
      <c r="BQ43" s="65">
        <v>289.75</v>
      </c>
      <c r="BR43" s="65">
        <v>157.75</v>
      </c>
      <c r="BS43" s="65">
        <v>290.25</v>
      </c>
      <c r="BT43" s="65">
        <v>157.5</v>
      </c>
      <c r="BU43" s="65">
        <v>290.75</v>
      </c>
      <c r="BV43" s="65">
        <v>21.5</v>
      </c>
      <c r="BW43" s="65">
        <v>31.5</v>
      </c>
      <c r="BX43" s="65">
        <v>83.4999999999998</v>
      </c>
      <c r="BY43" s="65">
        <v>373.75</v>
      </c>
      <c r="BZ43" s="65">
        <v>84.1000000000003</v>
      </c>
      <c r="CA43" s="65">
        <v>84.4999999999998</v>
      </c>
      <c r="CB43" s="65">
        <v>85.4999999999998</v>
      </c>
      <c r="CC43" s="66">
        <f t="shared" si="0"/>
        <v>387</v>
      </c>
      <c r="CD43" s="75">
        <v>18.25</v>
      </c>
      <c r="CE43" s="60"/>
      <c r="CF43" s="60"/>
      <c r="CG43" s="67">
        <v>90</v>
      </c>
      <c r="CH43" s="60"/>
      <c r="CI43" s="60"/>
      <c r="CJ43" s="69">
        <v>4.5</v>
      </c>
      <c r="CK43" s="60"/>
      <c r="CL43" s="67">
        <v>35</v>
      </c>
      <c r="CM43" s="68">
        <v>94</v>
      </c>
      <c r="CN43" s="61"/>
      <c r="CO43" s="61"/>
      <c r="CP43" s="61"/>
      <c r="CQ43" s="61"/>
      <c r="CR43" s="61"/>
      <c r="CS43" s="61"/>
      <c r="CT43" s="61"/>
      <c r="CU43" s="61"/>
      <c r="CV43" s="61"/>
      <c r="CW43" s="61"/>
      <c r="CX43" s="61"/>
      <c r="CY43" s="61"/>
      <c r="CZ43" s="61"/>
      <c r="DA43" s="61"/>
      <c r="DB43" s="61"/>
      <c r="DC43" s="61"/>
      <c r="DD43" s="61"/>
      <c r="DE43" s="91">
        <v>156</v>
      </c>
    </row>
    <row r="44" spans="65:109" ht="12.75">
      <c r="BM44" s="64">
        <v>191</v>
      </c>
      <c r="BN44" s="65">
        <v>159.2</v>
      </c>
      <c r="BO44" s="65">
        <v>289</v>
      </c>
      <c r="BP44" s="65">
        <v>158.2</v>
      </c>
      <c r="BQ44" s="65">
        <v>290</v>
      </c>
      <c r="BR44" s="65">
        <v>157.95</v>
      </c>
      <c r="BS44" s="65">
        <v>290.5</v>
      </c>
      <c r="BT44" s="65">
        <v>157.7</v>
      </c>
      <c r="BU44" s="65">
        <v>291</v>
      </c>
      <c r="BV44" s="65">
        <v>21.6000000000001</v>
      </c>
      <c r="BW44" s="65">
        <v>31.6000000000001</v>
      </c>
      <c r="BX44" s="65">
        <v>83.5999999999998</v>
      </c>
      <c r="BY44" s="65">
        <v>374</v>
      </c>
      <c r="BZ44" s="65">
        <v>84.2000000000003</v>
      </c>
      <c r="CA44" s="65">
        <v>84.5999999999998</v>
      </c>
      <c r="CB44" s="65">
        <v>85.5999999999998</v>
      </c>
      <c r="CC44" s="66">
        <f t="shared" si="0"/>
        <v>384</v>
      </c>
      <c r="CD44" s="66">
        <v>18.4</v>
      </c>
      <c r="CE44" s="60"/>
      <c r="CF44" s="60"/>
      <c r="CG44" s="67">
        <v>91</v>
      </c>
      <c r="CH44" s="60"/>
      <c r="CI44" s="60"/>
      <c r="CJ44" s="69">
        <v>4.6</v>
      </c>
      <c r="CK44" s="60"/>
      <c r="CL44" s="67">
        <v>36</v>
      </c>
      <c r="CM44" s="68">
        <v>95</v>
      </c>
      <c r="CN44" s="61"/>
      <c r="CO44" s="61"/>
      <c r="CP44" s="61"/>
      <c r="CQ44" s="61"/>
      <c r="CR44" s="61"/>
      <c r="CS44" s="61"/>
      <c r="CT44" s="61"/>
      <c r="CU44" s="61"/>
      <c r="CV44" s="61"/>
      <c r="CW44" s="61"/>
      <c r="CX44" s="61"/>
      <c r="CY44" s="61"/>
      <c r="CZ44" s="61"/>
      <c r="DA44" s="61"/>
      <c r="DB44" s="61"/>
      <c r="DC44" s="61"/>
      <c r="DD44" s="61"/>
      <c r="DE44" s="91">
        <v>156.5</v>
      </c>
    </row>
    <row r="45" spans="65:109" ht="12.75">
      <c r="BM45" s="64">
        <v>192</v>
      </c>
      <c r="BN45" s="65">
        <v>159.4</v>
      </c>
      <c r="BO45" s="65">
        <v>289.25</v>
      </c>
      <c r="BP45" s="65">
        <v>158.4</v>
      </c>
      <c r="BQ45" s="65">
        <v>290.25</v>
      </c>
      <c r="BR45" s="65">
        <v>158.15</v>
      </c>
      <c r="BS45" s="65">
        <v>290.75</v>
      </c>
      <c r="BT45" s="65">
        <v>157.9</v>
      </c>
      <c r="BU45" s="65">
        <v>291.25</v>
      </c>
      <c r="BV45" s="65">
        <v>21.7</v>
      </c>
      <c r="BW45" s="65">
        <v>31.7</v>
      </c>
      <c r="BX45" s="65">
        <v>83.6999999999998</v>
      </c>
      <c r="BY45" s="65">
        <v>374.25</v>
      </c>
      <c r="BZ45" s="65">
        <v>84.3000000000003</v>
      </c>
      <c r="CA45" s="65">
        <v>84.6999999999998</v>
      </c>
      <c r="CB45" s="65">
        <v>85.6999999999998</v>
      </c>
      <c r="CC45" s="66">
        <f t="shared" si="0"/>
        <v>381</v>
      </c>
      <c r="CD45" s="75">
        <v>18.55</v>
      </c>
      <c r="CE45" s="60"/>
      <c r="CF45" s="60"/>
      <c r="CG45" s="67">
        <v>92</v>
      </c>
      <c r="CH45" s="60"/>
      <c r="CI45" s="60"/>
      <c r="CJ45" s="69">
        <v>4.7</v>
      </c>
      <c r="CK45" s="60"/>
      <c r="CL45" s="67">
        <v>37</v>
      </c>
      <c r="CM45" s="68">
        <v>96</v>
      </c>
      <c r="CN45" s="61"/>
      <c r="CO45" s="61"/>
      <c r="CP45" s="61"/>
      <c r="CQ45" s="61"/>
      <c r="CR45" s="61"/>
      <c r="CS45" s="61"/>
      <c r="CT45" s="61"/>
      <c r="CU45" s="61"/>
      <c r="CV45" s="61"/>
      <c r="CW45" s="61"/>
      <c r="CX45" s="61"/>
      <c r="CY45" s="61"/>
      <c r="CZ45" s="61"/>
      <c r="DA45" s="61"/>
      <c r="DB45" s="61"/>
      <c r="DC45" s="61"/>
      <c r="DD45" s="61"/>
      <c r="DE45" s="91">
        <v>157</v>
      </c>
    </row>
    <row r="46" spans="65:109" ht="12.75">
      <c r="BM46" s="64">
        <v>193</v>
      </c>
      <c r="BN46" s="65">
        <v>159.6</v>
      </c>
      <c r="BO46" s="65">
        <v>289.5</v>
      </c>
      <c r="BP46" s="65">
        <v>158.6</v>
      </c>
      <c r="BQ46" s="65">
        <v>290.5</v>
      </c>
      <c r="BR46" s="65">
        <v>158.35</v>
      </c>
      <c r="BS46" s="65">
        <v>291</v>
      </c>
      <c r="BT46" s="65">
        <v>158.1</v>
      </c>
      <c r="BU46" s="65">
        <v>291.5</v>
      </c>
      <c r="BV46" s="65">
        <v>21.8000000000001</v>
      </c>
      <c r="BW46" s="65">
        <v>31.8000000000001</v>
      </c>
      <c r="BX46" s="65">
        <v>83.7999999999998</v>
      </c>
      <c r="BY46" s="65">
        <v>374.5</v>
      </c>
      <c r="BZ46" s="65">
        <v>84.4000000000003</v>
      </c>
      <c r="CA46" s="65">
        <v>84.7999999999998</v>
      </c>
      <c r="CB46" s="65">
        <v>85.7999999999998</v>
      </c>
      <c r="CC46" s="66">
        <f t="shared" si="0"/>
        <v>378</v>
      </c>
      <c r="CD46" s="66">
        <v>18.7</v>
      </c>
      <c r="CE46" s="60"/>
      <c r="CF46" s="60"/>
      <c r="CG46" s="67">
        <v>93</v>
      </c>
      <c r="CH46" s="60"/>
      <c r="CI46" s="60"/>
      <c r="CJ46" s="69">
        <v>4.8</v>
      </c>
      <c r="CK46" s="60"/>
      <c r="CL46" s="67">
        <v>38</v>
      </c>
      <c r="CM46" s="68">
        <v>97</v>
      </c>
      <c r="CN46" s="61"/>
      <c r="CO46" s="61"/>
      <c r="CP46" s="61"/>
      <c r="CQ46" s="61"/>
      <c r="CR46" s="61"/>
      <c r="CS46" s="61"/>
      <c r="CT46" s="61"/>
      <c r="CU46" s="61"/>
      <c r="CV46" s="61"/>
      <c r="CW46" s="61"/>
      <c r="CX46" s="61"/>
      <c r="CY46" s="61"/>
      <c r="CZ46" s="61"/>
      <c r="DA46" s="61"/>
      <c r="DB46" s="61"/>
      <c r="DC46" s="61"/>
      <c r="DD46" s="61"/>
      <c r="DE46" s="91">
        <v>157.5</v>
      </c>
    </row>
    <row r="47" spans="65:109" ht="12.75">
      <c r="BM47" s="64">
        <v>194</v>
      </c>
      <c r="BN47" s="65">
        <v>159.8</v>
      </c>
      <c r="BO47" s="65">
        <v>289.75</v>
      </c>
      <c r="BP47" s="65">
        <v>158.8</v>
      </c>
      <c r="BQ47" s="65">
        <v>290.75</v>
      </c>
      <c r="BR47" s="65">
        <v>158.55</v>
      </c>
      <c r="BS47" s="65">
        <v>291.25</v>
      </c>
      <c r="BT47" s="65">
        <v>158.3</v>
      </c>
      <c r="BU47" s="65">
        <v>291.75</v>
      </c>
      <c r="BV47" s="65">
        <v>21.9000000000001</v>
      </c>
      <c r="BW47" s="65">
        <v>31.9000000000001</v>
      </c>
      <c r="BX47" s="65">
        <v>83.8999999999998</v>
      </c>
      <c r="BY47" s="65">
        <v>374.75</v>
      </c>
      <c r="BZ47" s="65">
        <v>84.5000000000003</v>
      </c>
      <c r="CA47" s="65">
        <v>84.8999999999998</v>
      </c>
      <c r="CB47" s="65">
        <v>85.8999999999998</v>
      </c>
      <c r="CC47" s="66">
        <f t="shared" si="0"/>
        <v>375</v>
      </c>
      <c r="CD47" s="75">
        <v>18.85</v>
      </c>
      <c r="CE47" s="60"/>
      <c r="CF47" s="60"/>
      <c r="CG47" s="67">
        <v>94</v>
      </c>
      <c r="CH47" s="60"/>
      <c r="CI47" s="60"/>
      <c r="CJ47" s="69">
        <v>4.9</v>
      </c>
      <c r="CK47" s="60"/>
      <c r="CL47" s="67">
        <v>39</v>
      </c>
      <c r="CM47" s="68">
        <v>98</v>
      </c>
      <c r="CN47" s="61"/>
      <c r="CO47" s="61"/>
      <c r="CP47" s="61"/>
      <c r="CQ47" s="61"/>
      <c r="CR47" s="61"/>
      <c r="CS47" s="61"/>
      <c r="CT47" s="61"/>
      <c r="CU47" s="61"/>
      <c r="CV47" s="61"/>
      <c r="CW47" s="61"/>
      <c r="CX47" s="61"/>
      <c r="CY47" s="61"/>
      <c r="CZ47" s="61"/>
      <c r="DA47" s="61"/>
      <c r="DB47" s="61"/>
      <c r="DC47" s="61"/>
      <c r="DD47" s="61"/>
      <c r="DE47" s="91">
        <v>158</v>
      </c>
    </row>
    <row r="48" spans="65:109" ht="12.75">
      <c r="BM48" s="64">
        <v>195</v>
      </c>
      <c r="BN48" s="65">
        <v>160</v>
      </c>
      <c r="BO48" s="65">
        <v>290</v>
      </c>
      <c r="BP48" s="65">
        <v>159</v>
      </c>
      <c r="BQ48" s="65">
        <v>291</v>
      </c>
      <c r="BR48" s="65">
        <v>158.75</v>
      </c>
      <c r="BS48" s="65">
        <v>291.5</v>
      </c>
      <c r="BT48" s="65">
        <v>158.5</v>
      </c>
      <c r="BU48" s="65">
        <v>292</v>
      </c>
      <c r="BV48" s="65">
        <v>22.0000000000001</v>
      </c>
      <c r="BW48" s="65">
        <v>32.0000000000001</v>
      </c>
      <c r="BX48" s="65">
        <v>83.9999999999998</v>
      </c>
      <c r="BY48" s="65">
        <v>375</v>
      </c>
      <c r="BZ48" s="65">
        <v>84.6000000000003</v>
      </c>
      <c r="CA48" s="65">
        <v>84.9999999999998</v>
      </c>
      <c r="CB48" s="65">
        <v>85.9999999999998</v>
      </c>
      <c r="CC48" s="66">
        <f t="shared" si="0"/>
        <v>372</v>
      </c>
      <c r="CD48" s="66">
        <v>19</v>
      </c>
      <c r="CE48" s="60"/>
      <c r="CF48" s="60"/>
      <c r="CG48" s="67">
        <v>95</v>
      </c>
      <c r="CH48" s="60"/>
      <c r="CI48" s="60"/>
      <c r="CJ48" s="69">
        <v>5</v>
      </c>
      <c r="CK48" s="60"/>
      <c r="CL48" s="67">
        <v>40</v>
      </c>
      <c r="CM48" s="68">
        <v>99</v>
      </c>
      <c r="CN48" s="61"/>
      <c r="CO48" s="61"/>
      <c r="CP48" s="61"/>
      <c r="CQ48" s="61"/>
      <c r="CR48" s="61"/>
      <c r="CS48" s="61"/>
      <c r="CT48" s="61"/>
      <c r="CU48" s="61"/>
      <c r="CV48" s="61"/>
      <c r="CW48" s="61"/>
      <c r="CX48" s="61"/>
      <c r="CY48" s="61"/>
      <c r="CZ48" s="61"/>
      <c r="DA48" s="61"/>
      <c r="DB48" s="61"/>
      <c r="DC48" s="61"/>
      <c r="DD48" s="61"/>
      <c r="DE48" s="91">
        <v>158.5</v>
      </c>
    </row>
    <row r="49" spans="65:109" ht="12.75">
      <c r="BM49" s="61"/>
      <c r="BN49" s="61"/>
      <c r="BO49" s="61"/>
      <c r="BP49" s="61"/>
      <c r="BQ49" s="61"/>
      <c r="BR49" s="61"/>
      <c r="BS49" s="61"/>
      <c r="BT49" s="61"/>
      <c r="BU49" s="61"/>
      <c r="BV49" s="61"/>
      <c r="BW49" s="61"/>
      <c r="BX49" s="61"/>
      <c r="BY49" s="61"/>
      <c r="BZ49" s="61"/>
      <c r="CA49" s="61"/>
      <c r="CB49" s="61"/>
      <c r="CC49" s="61"/>
      <c r="CD49" s="61"/>
      <c r="CE49" s="60"/>
      <c r="CF49" s="60"/>
      <c r="CG49" s="67">
        <v>96</v>
      </c>
      <c r="CH49" s="60"/>
      <c r="CI49" s="60"/>
      <c r="CJ49" s="60"/>
      <c r="CK49" s="60"/>
      <c r="CL49" s="67">
        <v>41</v>
      </c>
      <c r="CM49" s="68">
        <v>100</v>
      </c>
      <c r="CN49" s="61"/>
      <c r="CO49" s="61"/>
      <c r="CP49" s="61"/>
      <c r="CQ49" s="61"/>
      <c r="CR49" s="61"/>
      <c r="CS49" s="61"/>
      <c r="CT49" s="61"/>
      <c r="CU49" s="61"/>
      <c r="CV49" s="61"/>
      <c r="CW49" s="61"/>
      <c r="CX49" s="61"/>
      <c r="CY49" s="61"/>
      <c r="CZ49" s="61"/>
      <c r="DA49" s="61"/>
      <c r="DB49" s="61"/>
      <c r="DC49" s="61"/>
      <c r="DD49" s="61"/>
      <c r="DE49" s="91">
        <v>159</v>
      </c>
    </row>
    <row r="50" spans="65:109" ht="12.75">
      <c r="BM50" s="61"/>
      <c r="BN50" s="61"/>
      <c r="BO50" s="61"/>
      <c r="BP50" s="61"/>
      <c r="BQ50" s="61"/>
      <c r="BR50" s="61"/>
      <c r="BS50" s="61"/>
      <c r="BT50" s="61"/>
      <c r="BU50" s="61"/>
      <c r="BV50" s="61"/>
      <c r="BW50" s="61"/>
      <c r="BX50" s="61"/>
      <c r="BY50" s="61"/>
      <c r="BZ50" s="61"/>
      <c r="CA50" s="61"/>
      <c r="CB50" s="61"/>
      <c r="CC50" s="61"/>
      <c r="CD50" s="61"/>
      <c r="CE50" s="60"/>
      <c r="CF50" s="60"/>
      <c r="CG50" s="67">
        <v>97</v>
      </c>
      <c r="CH50" s="60"/>
      <c r="CI50" s="60"/>
      <c r="CJ50" s="60"/>
      <c r="CK50" s="60"/>
      <c r="CL50" s="67">
        <v>42</v>
      </c>
      <c r="CM50" s="68">
        <v>101</v>
      </c>
      <c r="CN50" s="61"/>
      <c r="CO50" s="61"/>
      <c r="CP50" s="61"/>
      <c r="CQ50" s="61"/>
      <c r="CR50" s="61"/>
      <c r="CS50" s="61"/>
      <c r="CT50" s="61"/>
      <c r="CU50" s="61"/>
      <c r="CV50" s="61"/>
      <c r="CW50" s="61"/>
      <c r="CX50" s="61"/>
      <c r="CY50" s="61"/>
      <c r="CZ50" s="61"/>
      <c r="DA50" s="61"/>
      <c r="DB50" s="61"/>
      <c r="DC50" s="61"/>
      <c r="DD50" s="61"/>
      <c r="DE50" s="91">
        <v>159.5</v>
      </c>
    </row>
    <row r="51" spans="65:109" ht="12.75">
      <c r="BM51" s="61"/>
      <c r="BN51" s="61"/>
      <c r="BO51" s="61"/>
      <c r="BP51" s="61"/>
      <c r="BQ51" s="61"/>
      <c r="BR51" s="61"/>
      <c r="BS51" s="61"/>
      <c r="BT51" s="61"/>
      <c r="BU51" s="61"/>
      <c r="BV51" s="61"/>
      <c r="BW51" s="61"/>
      <c r="BX51" s="61"/>
      <c r="BY51" s="61"/>
      <c r="BZ51" s="61"/>
      <c r="CA51" s="61"/>
      <c r="CB51" s="61"/>
      <c r="CC51" s="61"/>
      <c r="CD51" s="61"/>
      <c r="CE51" s="60"/>
      <c r="CF51" s="60"/>
      <c r="CG51" s="67">
        <v>98</v>
      </c>
      <c r="CH51" s="60"/>
      <c r="CI51" s="61"/>
      <c r="CJ51" s="61"/>
      <c r="CK51" s="61"/>
      <c r="CL51" s="67">
        <v>43</v>
      </c>
      <c r="CM51" s="68">
        <v>102</v>
      </c>
      <c r="CN51" s="61"/>
      <c r="CO51" s="61"/>
      <c r="CP51" s="61"/>
      <c r="CQ51" s="61"/>
      <c r="CR51" s="61"/>
      <c r="CS51" s="61"/>
      <c r="CT51" s="61"/>
      <c r="CU51" s="61"/>
      <c r="CV51" s="61"/>
      <c r="CW51" s="61"/>
      <c r="CX51" s="61"/>
      <c r="CY51" s="61"/>
      <c r="CZ51" s="61"/>
      <c r="DA51" s="61"/>
      <c r="DB51" s="61"/>
      <c r="DC51" s="61"/>
      <c r="DD51" s="61"/>
      <c r="DE51" s="91">
        <v>160</v>
      </c>
    </row>
    <row r="52" spans="65:109" ht="12.75">
      <c r="BM52" s="61"/>
      <c r="BN52" s="61"/>
      <c r="BO52" s="61"/>
      <c r="BP52" s="61"/>
      <c r="BQ52" s="61"/>
      <c r="BR52" s="61"/>
      <c r="BS52" s="61"/>
      <c r="BT52" s="61"/>
      <c r="BU52" s="61"/>
      <c r="BV52" s="61"/>
      <c r="BW52" s="61"/>
      <c r="BX52" s="61"/>
      <c r="BY52" s="61"/>
      <c r="BZ52" s="61"/>
      <c r="CA52" s="61"/>
      <c r="CB52" s="61"/>
      <c r="CC52" s="61"/>
      <c r="CD52" s="61"/>
      <c r="CE52" s="60"/>
      <c r="CF52" s="60"/>
      <c r="CG52" s="67">
        <v>99</v>
      </c>
      <c r="CH52" s="60"/>
      <c r="CI52" s="61"/>
      <c r="CJ52" s="61"/>
      <c r="CK52" s="61"/>
      <c r="CL52" s="67">
        <v>44</v>
      </c>
      <c r="CM52" s="68">
        <v>103</v>
      </c>
      <c r="CN52" s="61"/>
      <c r="CO52" s="61"/>
      <c r="CP52" s="61"/>
      <c r="CQ52" s="61"/>
      <c r="CR52" s="61"/>
      <c r="CS52" s="61"/>
      <c r="CT52" s="61"/>
      <c r="CU52" s="61"/>
      <c r="CV52" s="61"/>
      <c r="CW52" s="61"/>
      <c r="CX52" s="61"/>
      <c r="CY52" s="61"/>
      <c r="CZ52" s="61"/>
      <c r="DA52" s="61"/>
      <c r="DB52" s="61"/>
      <c r="DC52" s="61"/>
      <c r="DD52" s="61"/>
      <c r="DE52" s="91">
        <v>160.5</v>
      </c>
    </row>
    <row r="53" spans="65:109" ht="12.75">
      <c r="BM53" s="61"/>
      <c r="BN53" s="61"/>
      <c r="BO53" s="61"/>
      <c r="BP53" s="61"/>
      <c r="BQ53" s="61"/>
      <c r="BR53" s="61"/>
      <c r="BS53" s="61"/>
      <c r="BT53" s="61"/>
      <c r="BU53" s="61"/>
      <c r="BV53" s="61"/>
      <c r="BW53" s="61"/>
      <c r="BX53" s="61"/>
      <c r="BY53" s="61"/>
      <c r="BZ53" s="61"/>
      <c r="CA53" s="61"/>
      <c r="CB53" s="61"/>
      <c r="CC53" s="61"/>
      <c r="CD53" s="61"/>
      <c r="CE53" s="60"/>
      <c r="CF53" s="60"/>
      <c r="CG53" s="67">
        <v>100</v>
      </c>
      <c r="CH53" s="60"/>
      <c r="CI53" s="61"/>
      <c r="CJ53" s="61"/>
      <c r="CK53" s="61"/>
      <c r="CL53" s="67">
        <v>45</v>
      </c>
      <c r="CM53" s="68">
        <v>104</v>
      </c>
      <c r="CN53" s="61"/>
      <c r="CO53" s="61"/>
      <c r="CP53" s="61"/>
      <c r="CQ53" s="61"/>
      <c r="CR53" s="61"/>
      <c r="CS53" s="61"/>
      <c r="CT53" s="61"/>
      <c r="CU53" s="61"/>
      <c r="CV53" s="61"/>
      <c r="CW53" s="61"/>
      <c r="CX53" s="61"/>
      <c r="CY53" s="61"/>
      <c r="CZ53" s="61"/>
      <c r="DA53" s="61"/>
      <c r="DB53" s="61"/>
      <c r="DC53" s="61"/>
      <c r="DD53" s="61"/>
      <c r="DE53" s="91">
        <v>161</v>
      </c>
    </row>
    <row r="54" spans="65:109" ht="12.75">
      <c r="BM54" s="61"/>
      <c r="BN54" s="61"/>
      <c r="BO54" s="61"/>
      <c r="BP54" s="61"/>
      <c r="BQ54" s="61"/>
      <c r="BR54" s="61"/>
      <c r="BS54" s="61"/>
      <c r="BT54" s="61"/>
      <c r="BU54" s="61"/>
      <c r="BV54" s="61"/>
      <c r="BW54" s="61"/>
      <c r="BX54" s="61"/>
      <c r="BY54" s="61"/>
      <c r="BZ54" s="61"/>
      <c r="CA54" s="61"/>
      <c r="CB54" s="61"/>
      <c r="CC54" s="61"/>
      <c r="CD54" s="61"/>
      <c r="CE54" s="60"/>
      <c r="CF54" s="60"/>
      <c r="CG54" s="67">
        <v>101</v>
      </c>
      <c r="CH54" s="60"/>
      <c r="CI54" s="61"/>
      <c r="CJ54" s="61"/>
      <c r="CK54" s="61"/>
      <c r="CL54" s="67">
        <v>46</v>
      </c>
      <c r="CM54" s="68">
        <v>105</v>
      </c>
      <c r="CN54" s="61"/>
      <c r="CO54" s="61"/>
      <c r="CP54" s="61"/>
      <c r="CQ54" s="61"/>
      <c r="CR54" s="61"/>
      <c r="CS54" s="61"/>
      <c r="CT54" s="61"/>
      <c r="CU54" s="61"/>
      <c r="CV54" s="61"/>
      <c r="CW54" s="61"/>
      <c r="CX54" s="61"/>
      <c r="CY54" s="61"/>
      <c r="CZ54" s="61"/>
      <c r="DA54" s="61"/>
      <c r="DB54" s="61"/>
      <c r="DC54" s="61"/>
      <c r="DD54" s="61"/>
      <c r="DE54" s="91">
        <v>161.5</v>
      </c>
    </row>
    <row r="55" spans="65:109" ht="12.75">
      <c r="BM55" s="61"/>
      <c r="BN55" s="61"/>
      <c r="BO55" s="61"/>
      <c r="BP55" s="61"/>
      <c r="BQ55" s="61"/>
      <c r="BR55" s="61"/>
      <c r="BS55" s="61"/>
      <c r="BT55" s="61"/>
      <c r="BU55" s="61"/>
      <c r="BV55" s="61"/>
      <c r="BW55" s="61"/>
      <c r="BX55" s="61"/>
      <c r="BY55" s="61"/>
      <c r="BZ55" s="61"/>
      <c r="CA55" s="61"/>
      <c r="CB55" s="61"/>
      <c r="CC55" s="61"/>
      <c r="CD55" s="61"/>
      <c r="CE55" s="60"/>
      <c r="CF55" s="60"/>
      <c r="CG55" s="67">
        <v>102</v>
      </c>
      <c r="CH55" s="60"/>
      <c r="CI55" s="60"/>
      <c r="CJ55" s="60"/>
      <c r="CK55" s="60"/>
      <c r="CL55" s="67">
        <v>47</v>
      </c>
      <c r="CM55" s="61"/>
      <c r="CN55" s="61"/>
      <c r="CO55" s="61"/>
      <c r="CP55" s="61"/>
      <c r="CQ55" s="61"/>
      <c r="CR55" s="61"/>
      <c r="CS55" s="61"/>
      <c r="CT55" s="61"/>
      <c r="CU55" s="61"/>
      <c r="CV55" s="61"/>
      <c r="CW55" s="61"/>
      <c r="CX55" s="61"/>
      <c r="CY55" s="61"/>
      <c r="CZ55" s="61"/>
      <c r="DA55" s="61"/>
      <c r="DB55" s="61"/>
      <c r="DC55" s="61"/>
      <c r="DD55" s="61"/>
      <c r="DE55" s="91">
        <v>162</v>
      </c>
    </row>
    <row r="56" spans="65:109" ht="12.75">
      <c r="BM56" s="61"/>
      <c r="BN56" s="61"/>
      <c r="BO56" s="61"/>
      <c r="BP56" s="61"/>
      <c r="BQ56" s="61"/>
      <c r="BR56" s="61"/>
      <c r="BS56" s="61"/>
      <c r="BT56" s="61"/>
      <c r="BU56" s="61"/>
      <c r="BV56" s="61"/>
      <c r="BW56" s="61"/>
      <c r="BX56" s="61"/>
      <c r="BY56" s="61"/>
      <c r="BZ56" s="61"/>
      <c r="CA56" s="61"/>
      <c r="CB56" s="61"/>
      <c r="CC56" s="61"/>
      <c r="CD56" s="61"/>
      <c r="CE56" s="60"/>
      <c r="CF56" s="60"/>
      <c r="CG56" s="67">
        <v>103</v>
      </c>
      <c r="CH56" s="60"/>
      <c r="CI56" s="60"/>
      <c r="CJ56" s="60"/>
      <c r="CK56" s="60"/>
      <c r="CL56" s="67">
        <v>48</v>
      </c>
      <c r="CM56" s="61"/>
      <c r="CN56" s="61"/>
      <c r="CO56" s="61"/>
      <c r="CP56" s="61"/>
      <c r="CQ56" s="61"/>
      <c r="CR56" s="61"/>
      <c r="CS56" s="61"/>
      <c r="CT56" s="61"/>
      <c r="CU56" s="61"/>
      <c r="CV56" s="61"/>
      <c r="CW56" s="61"/>
      <c r="CX56" s="61"/>
      <c r="CY56" s="61"/>
      <c r="CZ56" s="61"/>
      <c r="DA56" s="61"/>
      <c r="DB56" s="61"/>
      <c r="DC56" s="61"/>
      <c r="DD56" s="61"/>
      <c r="DE56" s="91">
        <v>162.5</v>
      </c>
    </row>
    <row r="57" spans="65:109" ht="12.75">
      <c r="BM57" s="61"/>
      <c r="BN57" s="61"/>
      <c r="BO57" s="61"/>
      <c r="BP57" s="61"/>
      <c r="BQ57" s="61"/>
      <c r="BR57" s="61"/>
      <c r="BS57" s="61"/>
      <c r="BT57" s="61"/>
      <c r="BU57" s="61"/>
      <c r="BV57" s="61"/>
      <c r="BW57" s="61"/>
      <c r="BX57" s="61"/>
      <c r="BY57" s="61"/>
      <c r="BZ57" s="61"/>
      <c r="CA57" s="61"/>
      <c r="CB57" s="61"/>
      <c r="CC57" s="61"/>
      <c r="CD57" s="61"/>
      <c r="CE57" s="60"/>
      <c r="CF57" s="60"/>
      <c r="CG57" s="67">
        <v>104</v>
      </c>
      <c r="CH57" s="60"/>
      <c r="CI57" s="67"/>
      <c r="CJ57" s="60"/>
      <c r="CK57" s="60"/>
      <c r="CL57" s="67">
        <v>49</v>
      </c>
      <c r="CM57" s="61"/>
      <c r="CN57" s="61"/>
      <c r="CO57" s="61"/>
      <c r="CP57" s="61"/>
      <c r="CQ57" s="61"/>
      <c r="CR57" s="61"/>
      <c r="CS57" s="61"/>
      <c r="CT57" s="61"/>
      <c r="CU57" s="61"/>
      <c r="CV57" s="61"/>
      <c r="CW57" s="61"/>
      <c r="CX57" s="61"/>
      <c r="CY57" s="61"/>
      <c r="CZ57" s="61"/>
      <c r="DA57" s="61"/>
      <c r="DB57" s="61"/>
      <c r="DC57" s="61"/>
      <c r="DD57" s="61"/>
      <c r="DE57" s="91">
        <v>163</v>
      </c>
    </row>
    <row r="58" spans="65:109" ht="12.75">
      <c r="BM58" s="61"/>
      <c r="BN58" s="61"/>
      <c r="BO58" s="61"/>
      <c r="BP58" s="61"/>
      <c r="BQ58" s="61"/>
      <c r="BR58" s="61"/>
      <c r="BS58" s="61"/>
      <c r="BT58" s="61"/>
      <c r="BU58" s="61"/>
      <c r="BV58" s="61"/>
      <c r="BW58" s="61"/>
      <c r="BX58" s="61"/>
      <c r="BY58" s="61"/>
      <c r="BZ58" s="61"/>
      <c r="CA58" s="61"/>
      <c r="CB58" s="61"/>
      <c r="CC58" s="61"/>
      <c r="CD58" s="61"/>
      <c r="CE58" s="60"/>
      <c r="CF58" s="60"/>
      <c r="CG58" s="67">
        <v>105</v>
      </c>
      <c r="CH58" s="60"/>
      <c r="CI58" s="60"/>
      <c r="CJ58" s="60"/>
      <c r="CK58" s="60"/>
      <c r="CL58" s="67">
        <v>50</v>
      </c>
      <c r="CM58" s="61"/>
      <c r="CN58" s="61"/>
      <c r="CO58" s="61"/>
      <c r="CP58" s="61"/>
      <c r="CQ58" s="61"/>
      <c r="CR58" s="61"/>
      <c r="CS58" s="61"/>
      <c r="CT58" s="61"/>
      <c r="CU58" s="61"/>
      <c r="CV58" s="61"/>
      <c r="CW58" s="61"/>
      <c r="CX58" s="61"/>
      <c r="CY58" s="61"/>
      <c r="CZ58" s="61"/>
      <c r="DA58" s="61"/>
      <c r="DB58" s="61"/>
      <c r="DC58" s="61"/>
      <c r="DD58" s="61"/>
      <c r="DE58" s="61"/>
    </row>
    <row r="59" spans="65:109" ht="12.75">
      <c r="BM59" s="61"/>
      <c r="BN59" s="61"/>
      <c r="BO59" s="61"/>
      <c r="BP59" s="61"/>
      <c r="BQ59" s="61"/>
      <c r="BR59" s="61"/>
      <c r="BS59" s="61"/>
      <c r="BT59" s="61"/>
      <c r="BU59" s="61"/>
      <c r="BV59" s="61"/>
      <c r="BW59" s="61"/>
      <c r="BX59" s="61"/>
      <c r="BY59" s="61"/>
      <c r="BZ59" s="61"/>
      <c r="CA59" s="61"/>
      <c r="CB59" s="61"/>
      <c r="CC59" s="61"/>
      <c r="CD59" s="61"/>
      <c r="CE59" s="60"/>
      <c r="CF59" s="60"/>
      <c r="CG59" s="60"/>
      <c r="CH59" s="60"/>
      <c r="CI59" s="60"/>
      <c r="CJ59" s="60"/>
      <c r="CK59" s="60"/>
      <c r="CL59" s="67">
        <v>51</v>
      </c>
      <c r="CM59" s="61"/>
      <c r="CN59" s="61"/>
      <c r="CO59" s="61"/>
      <c r="CP59" s="61"/>
      <c r="CQ59" s="61"/>
      <c r="CR59" s="61"/>
      <c r="CS59" s="61"/>
      <c r="CT59" s="61"/>
      <c r="CU59" s="61"/>
      <c r="CV59" s="61"/>
      <c r="CW59" s="61"/>
      <c r="CX59" s="61"/>
      <c r="CY59" s="61"/>
      <c r="CZ59" s="61"/>
      <c r="DA59" s="61"/>
      <c r="DB59" s="61"/>
      <c r="DC59" s="61"/>
      <c r="DD59" s="61"/>
      <c r="DE59" s="61"/>
    </row>
    <row r="60" spans="65:109" ht="12.75">
      <c r="BM60" s="61"/>
      <c r="BN60" s="61"/>
      <c r="BO60" s="61"/>
      <c r="BP60" s="61"/>
      <c r="BQ60" s="61"/>
      <c r="BR60" s="61"/>
      <c r="BS60" s="61"/>
      <c r="BT60" s="61"/>
      <c r="BU60" s="61"/>
      <c r="BV60" s="61"/>
      <c r="BW60" s="61"/>
      <c r="BX60" s="61"/>
      <c r="BY60" s="61"/>
      <c r="BZ60" s="61"/>
      <c r="CA60" s="61"/>
      <c r="CB60" s="61"/>
      <c r="CC60" s="61"/>
      <c r="CD60" s="61"/>
      <c r="CE60" s="60"/>
      <c r="CF60" s="60"/>
      <c r="CG60" s="60"/>
      <c r="CH60" s="60"/>
      <c r="CI60" s="60"/>
      <c r="CJ60" s="60"/>
      <c r="CK60" s="60"/>
      <c r="CL60" s="67">
        <v>52</v>
      </c>
      <c r="CM60" s="61"/>
      <c r="CN60" s="61"/>
      <c r="CO60" s="61"/>
      <c r="CP60" s="61"/>
      <c r="CQ60" s="61"/>
      <c r="CR60" s="61"/>
      <c r="CS60" s="61"/>
      <c r="CT60" s="61"/>
      <c r="CU60" s="61"/>
      <c r="CV60" s="61"/>
      <c r="CW60" s="61"/>
      <c r="CX60" s="61"/>
      <c r="CY60" s="61"/>
      <c r="CZ60" s="61"/>
      <c r="DA60" s="61"/>
      <c r="DB60" s="61"/>
      <c r="DC60" s="61"/>
      <c r="DD60" s="61"/>
      <c r="DE60" s="61"/>
    </row>
    <row r="61" spans="65:109" ht="12.75">
      <c r="BM61" s="61"/>
      <c r="BN61" s="61"/>
      <c r="BO61" s="61"/>
      <c r="BP61" s="61"/>
      <c r="BQ61" s="61"/>
      <c r="BR61" s="61"/>
      <c r="BS61" s="61"/>
      <c r="BT61" s="61"/>
      <c r="BU61" s="61"/>
      <c r="BV61" s="61"/>
      <c r="BW61" s="61"/>
      <c r="BX61" s="61"/>
      <c r="BY61" s="61"/>
      <c r="BZ61" s="61"/>
      <c r="CA61" s="61"/>
      <c r="CB61" s="61"/>
      <c r="CC61" s="61"/>
      <c r="CD61" s="61"/>
      <c r="CE61" s="60"/>
      <c r="CF61" s="60"/>
      <c r="CG61" s="60"/>
      <c r="CH61" s="60"/>
      <c r="CI61" s="60"/>
      <c r="CJ61" s="60"/>
      <c r="CK61" s="60"/>
      <c r="CL61" s="67">
        <v>53</v>
      </c>
      <c r="CM61" s="61"/>
      <c r="CN61" s="61"/>
      <c r="CO61" s="61"/>
      <c r="CP61" s="61"/>
      <c r="CQ61" s="61"/>
      <c r="CR61" s="61"/>
      <c r="CS61" s="61"/>
      <c r="CT61" s="61"/>
      <c r="CU61" s="61"/>
      <c r="CV61" s="61"/>
      <c r="CW61" s="61"/>
      <c r="CX61" s="61"/>
      <c r="CY61" s="61"/>
      <c r="CZ61" s="61"/>
      <c r="DA61" s="61"/>
      <c r="DB61" s="61"/>
      <c r="DC61" s="61"/>
      <c r="DD61" s="61"/>
      <c r="DE61" s="61"/>
    </row>
    <row r="62" spans="65:109" ht="12.75">
      <c r="BM62" s="61"/>
      <c r="BN62" s="61"/>
      <c r="BO62" s="61"/>
      <c r="BP62" s="61"/>
      <c r="BQ62" s="61"/>
      <c r="BR62" s="61"/>
      <c r="BS62" s="61"/>
      <c r="BT62" s="61"/>
      <c r="BU62" s="61"/>
      <c r="BV62" s="61"/>
      <c r="BW62" s="61"/>
      <c r="BX62" s="61"/>
      <c r="BY62" s="61"/>
      <c r="BZ62" s="61"/>
      <c r="CA62" s="61"/>
      <c r="CB62" s="61"/>
      <c r="CC62" s="61"/>
      <c r="CD62" s="61"/>
      <c r="CE62" s="60"/>
      <c r="CF62" s="60"/>
      <c r="CG62" s="60"/>
      <c r="CH62" s="60"/>
      <c r="CI62" s="60"/>
      <c r="CJ62" s="60"/>
      <c r="CK62" s="60"/>
      <c r="CL62" s="67">
        <v>54</v>
      </c>
      <c r="CM62" s="61"/>
      <c r="CN62" s="61"/>
      <c r="CO62" s="61"/>
      <c r="CP62" s="61"/>
      <c r="CQ62" s="61"/>
      <c r="CR62" s="61"/>
      <c r="CS62" s="61"/>
      <c r="CT62" s="61"/>
      <c r="CU62" s="61"/>
      <c r="CV62" s="61"/>
      <c r="CW62" s="61"/>
      <c r="CX62" s="61"/>
      <c r="CY62" s="61"/>
      <c r="CZ62" s="61"/>
      <c r="DA62" s="61"/>
      <c r="DB62" s="61"/>
      <c r="DC62" s="61"/>
      <c r="DD62" s="61"/>
      <c r="DE62" s="61"/>
    </row>
    <row r="63" spans="65:109" ht="12.75">
      <c r="BM63" s="61"/>
      <c r="BN63" s="61"/>
      <c r="BO63" s="61"/>
      <c r="BP63" s="61"/>
      <c r="BQ63" s="61"/>
      <c r="BR63" s="61"/>
      <c r="BS63" s="61"/>
      <c r="BT63" s="61"/>
      <c r="BU63" s="61"/>
      <c r="BV63" s="61"/>
      <c r="BW63" s="61"/>
      <c r="BX63" s="61"/>
      <c r="BY63" s="61"/>
      <c r="BZ63" s="61"/>
      <c r="CA63" s="61"/>
      <c r="CB63" s="61"/>
      <c r="CC63" s="61"/>
      <c r="CD63" s="61"/>
      <c r="CE63" s="60"/>
      <c r="CF63" s="60"/>
      <c r="CG63" s="60"/>
      <c r="CH63" s="60"/>
      <c r="CI63" s="60"/>
      <c r="CJ63" s="60"/>
      <c r="CK63" s="60"/>
      <c r="CL63" s="67">
        <v>55</v>
      </c>
      <c r="CM63" s="61"/>
      <c r="CN63" s="61"/>
      <c r="CO63" s="61"/>
      <c r="CP63" s="61"/>
      <c r="CQ63" s="61"/>
      <c r="CR63" s="61"/>
      <c r="CS63" s="61"/>
      <c r="CT63" s="61"/>
      <c r="CU63" s="61"/>
      <c r="CV63" s="61"/>
      <c r="CW63" s="61"/>
      <c r="CX63" s="61"/>
      <c r="CY63" s="61"/>
      <c r="CZ63" s="61"/>
      <c r="DA63" s="61"/>
      <c r="DB63" s="61"/>
      <c r="DC63" s="61"/>
      <c r="DD63" s="61"/>
      <c r="DE63" s="61"/>
    </row>
    <row r="64" spans="65:109" ht="12.75">
      <c r="BM64" s="61"/>
      <c r="BN64" s="61"/>
      <c r="BO64" s="61"/>
      <c r="BP64" s="61"/>
      <c r="BQ64" s="61"/>
      <c r="BR64" s="61"/>
      <c r="BS64" s="61"/>
      <c r="BT64" s="61"/>
      <c r="BU64" s="61"/>
      <c r="BV64" s="61"/>
      <c r="BW64" s="61"/>
      <c r="BX64" s="61"/>
      <c r="BY64" s="61"/>
      <c r="BZ64" s="61"/>
      <c r="CA64" s="61"/>
      <c r="CB64" s="61"/>
      <c r="CC64" s="61"/>
      <c r="CD64" s="61"/>
      <c r="CE64" s="60"/>
      <c r="CF64" s="60"/>
      <c r="CG64" s="60"/>
      <c r="CH64" s="60"/>
      <c r="CI64" s="60"/>
      <c r="CJ64" s="60"/>
      <c r="CK64" s="60"/>
      <c r="CL64" s="67">
        <v>56</v>
      </c>
      <c r="CM64" s="61"/>
      <c r="CN64" s="61"/>
      <c r="CO64" s="61"/>
      <c r="CP64" s="61"/>
      <c r="CQ64" s="61"/>
      <c r="CR64" s="61"/>
      <c r="CS64" s="61"/>
      <c r="CT64" s="61"/>
      <c r="CU64" s="61"/>
      <c r="CV64" s="61"/>
      <c r="CW64" s="61"/>
      <c r="CX64" s="61"/>
      <c r="CY64" s="61"/>
      <c r="CZ64" s="61"/>
      <c r="DA64" s="61"/>
      <c r="DB64" s="61"/>
      <c r="DC64" s="61"/>
      <c r="DD64" s="61"/>
      <c r="DE64" s="61"/>
    </row>
    <row r="65" spans="65:109" ht="12.75">
      <c r="BM65" s="61"/>
      <c r="BN65" s="61"/>
      <c r="BO65" s="61"/>
      <c r="BP65" s="61"/>
      <c r="BQ65" s="61"/>
      <c r="BR65" s="61"/>
      <c r="BS65" s="61"/>
      <c r="BT65" s="61"/>
      <c r="BU65" s="61"/>
      <c r="BV65" s="61"/>
      <c r="BW65" s="61"/>
      <c r="BX65" s="61"/>
      <c r="BY65" s="61"/>
      <c r="BZ65" s="61"/>
      <c r="CA65" s="61"/>
      <c r="CB65" s="61"/>
      <c r="CC65" s="61"/>
      <c r="CD65" s="61"/>
      <c r="CE65" s="60"/>
      <c r="CF65" s="60"/>
      <c r="CG65" s="60"/>
      <c r="CH65" s="60"/>
      <c r="CI65" s="60"/>
      <c r="CJ65" s="60"/>
      <c r="CK65" s="60"/>
      <c r="CL65" s="67">
        <v>57</v>
      </c>
      <c r="CM65" s="61"/>
      <c r="CN65" s="61"/>
      <c r="CO65" s="61"/>
      <c r="CP65" s="61"/>
      <c r="CQ65" s="61"/>
      <c r="CR65" s="61"/>
      <c r="CS65" s="61"/>
      <c r="CT65" s="61"/>
      <c r="CU65" s="61"/>
      <c r="CV65" s="61"/>
      <c r="CW65" s="61"/>
      <c r="CX65" s="61"/>
      <c r="CY65" s="61"/>
      <c r="CZ65" s="61"/>
      <c r="DA65" s="61"/>
      <c r="DB65" s="61"/>
      <c r="DC65" s="61"/>
      <c r="DD65" s="61"/>
      <c r="DE65" s="61"/>
    </row>
    <row r="66" spans="65:109" ht="12.75">
      <c r="BM66" s="61"/>
      <c r="BN66" s="61"/>
      <c r="BO66" s="61"/>
      <c r="BP66" s="61"/>
      <c r="BQ66" s="61"/>
      <c r="BR66" s="61"/>
      <c r="BS66" s="61"/>
      <c r="BT66" s="61"/>
      <c r="BU66" s="61"/>
      <c r="BV66" s="61"/>
      <c r="BW66" s="61"/>
      <c r="BX66" s="61"/>
      <c r="BY66" s="61"/>
      <c r="BZ66" s="61"/>
      <c r="CA66" s="61"/>
      <c r="CB66" s="61"/>
      <c r="CC66" s="61"/>
      <c r="CD66" s="61"/>
      <c r="CE66" s="60"/>
      <c r="CF66" s="60"/>
      <c r="CG66" s="60"/>
      <c r="CH66" s="60"/>
      <c r="CI66" s="60"/>
      <c r="CJ66" s="60"/>
      <c r="CK66" s="60"/>
      <c r="CL66" s="67">
        <v>58</v>
      </c>
      <c r="CM66" s="61"/>
      <c r="CN66" s="61"/>
      <c r="CO66" s="61"/>
      <c r="CP66" s="61"/>
      <c r="CQ66" s="61"/>
      <c r="CR66" s="61"/>
      <c r="CS66" s="61"/>
      <c r="CT66" s="61"/>
      <c r="CU66" s="61"/>
      <c r="CV66" s="61"/>
      <c r="CW66" s="61"/>
      <c r="CX66" s="61"/>
      <c r="CY66" s="61"/>
      <c r="CZ66" s="61"/>
      <c r="DA66" s="61"/>
      <c r="DB66" s="61"/>
      <c r="DC66" s="61"/>
      <c r="DD66" s="61"/>
      <c r="DE66" s="61"/>
    </row>
    <row r="67" spans="65:109" ht="12.75">
      <c r="BM67" s="61"/>
      <c r="BN67" s="61"/>
      <c r="BO67" s="61"/>
      <c r="BP67" s="61"/>
      <c r="BQ67" s="61"/>
      <c r="BR67" s="61"/>
      <c r="BS67" s="61"/>
      <c r="BT67" s="61"/>
      <c r="BU67" s="61"/>
      <c r="BV67" s="61"/>
      <c r="BW67" s="61"/>
      <c r="BX67" s="61"/>
      <c r="BY67" s="61"/>
      <c r="BZ67" s="61"/>
      <c r="CA67" s="61"/>
      <c r="CB67" s="61"/>
      <c r="CC67" s="61"/>
      <c r="CD67" s="61"/>
      <c r="CE67" s="60"/>
      <c r="CF67" s="60"/>
      <c r="CG67" s="60"/>
      <c r="CH67" s="60"/>
      <c r="CI67" s="60"/>
      <c r="CJ67" s="60"/>
      <c r="CK67" s="60"/>
      <c r="CL67" s="67">
        <v>59</v>
      </c>
      <c r="CM67" s="61"/>
      <c r="CN67" s="61"/>
      <c r="CO67" s="61"/>
      <c r="CP67" s="61"/>
      <c r="CQ67" s="61"/>
      <c r="CR67" s="61"/>
      <c r="CS67" s="61"/>
      <c r="CT67" s="61"/>
      <c r="CU67" s="61"/>
      <c r="CV67" s="61"/>
      <c r="CW67" s="61"/>
      <c r="CX67" s="61"/>
      <c r="CY67" s="61"/>
      <c r="CZ67" s="61"/>
      <c r="DA67" s="61"/>
      <c r="DB67" s="61"/>
      <c r="DC67" s="61"/>
      <c r="DD67" s="61"/>
      <c r="DE67" s="61"/>
    </row>
    <row r="68" spans="65:109" ht="12.75">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row>
  </sheetData>
  <sheetProtection/>
  <protectedRanges>
    <protectedRange sqref="G8:X22 Y8:Y23 AI9:AI23 AI8:AJ8 AH8:AH22 AG8:AG23 Z8:AF22" name="Range1"/>
    <protectedRange sqref="A8" name="Range2"/>
  </protectedRanges>
  <mergeCells count="30">
    <mergeCell ref="W36:AQ36"/>
    <mergeCell ref="I24:O24"/>
    <mergeCell ref="AU33:AY38"/>
    <mergeCell ref="W37:AQ37"/>
    <mergeCell ref="BC24:BG24"/>
    <mergeCell ref="BC25:BG25"/>
    <mergeCell ref="BC26:BG26"/>
    <mergeCell ref="BC29:BG29"/>
    <mergeCell ref="BC30:BG30"/>
    <mergeCell ref="Y25:AQ30"/>
    <mergeCell ref="BP6:BQ6"/>
    <mergeCell ref="BT6:BU6"/>
    <mergeCell ref="BR6:BS6"/>
    <mergeCell ref="S2:AU4"/>
    <mergeCell ref="I26:O26"/>
    <mergeCell ref="M31:O38"/>
    <mergeCell ref="Q6:S6"/>
    <mergeCell ref="W33:AQ33"/>
    <mergeCell ref="W34:AQ34"/>
    <mergeCell ref="W35:AQ35"/>
    <mergeCell ref="DC6:DC9"/>
    <mergeCell ref="CF17:CF22"/>
    <mergeCell ref="BC27:BG27"/>
    <mergeCell ref="BC28:BG28"/>
    <mergeCell ref="BI6:BK6"/>
    <mergeCell ref="CU6:CV6"/>
    <mergeCell ref="CH6:CI6"/>
    <mergeCell ref="CK6:CL6"/>
    <mergeCell ref="BX6:BY6"/>
    <mergeCell ref="BN6:BO6"/>
  </mergeCells>
  <dataValidations count="15">
    <dataValidation type="list" allowBlank="1" showInputMessage="1" showErrorMessage="1" sqref="A8">
      <formula1>BoatType</formula1>
    </dataValidation>
    <dataValidation type="list" allowBlank="1" showInputMessage="1" showErrorMessage="1" sqref="G12 G10 G8 G22 G20 G18 G16 G14">
      <formula1>Height</formula1>
    </dataValidation>
    <dataValidation type="list" allowBlank="1" showInputMessage="1" showErrorMessage="1" sqref="O8 O22 O20 O18 O16 O14 O12 O10">
      <formula1>Weight</formula1>
    </dataValidation>
    <dataValidation type="list" allowBlank="1" showInputMessage="1" showErrorMessage="1" sqref="AE22 AE20 AE18 AE16 AE14 AE12 AE10 AE8">
      <formula1>Oarlock</formula1>
    </dataValidation>
    <dataValidation type="list" allowBlank="1" showInputMessage="1" showErrorMessage="1" sqref="Q8 Q22 Q20 Q18 Q16 Q14 Q12 Q10">
      <formula1>minutes</formula1>
    </dataValidation>
    <dataValidation type="list" allowBlank="1" showInputMessage="1" showErrorMessage="1" sqref="S8 S22 S20 S18 S16 S14 S12 S10">
      <formula1>seconds</formula1>
    </dataValidation>
    <dataValidation type="list" allowBlank="1" showInputMessage="1" showErrorMessage="1" sqref="E8 E22 E20 E18 E16 E14 E12 E10">
      <formula1>$CU$24:$CU$26</formula1>
    </dataValidation>
    <dataValidation type="list" allowBlank="1" showInputMessage="1" showErrorMessage="1" sqref="Y8 Y22 Y20 Y18 Y16 Y14 Y12 Y10">
      <formula1>$CX$24:$CX$26</formula1>
    </dataValidation>
    <dataValidation type="list" allowBlank="1" showInputMessage="1" showErrorMessage="1" sqref="I22 K22 K20 K18 K16 K14 K12 K10 K8 I20 I18 I16 I14 I12 I10 I8">
      <formula1>$CO$9:$CO$11</formula1>
    </dataValidation>
    <dataValidation type="list" allowBlank="1" showInputMessage="1" showErrorMessage="1" sqref="W8 W12 W10 W14 W16 W18 W20 W22">
      <formula1>$CR$14:$CR$16</formula1>
    </dataValidation>
    <dataValidation type="list" allowBlank="1" showInputMessage="1" showErrorMessage="1" sqref="AA8 AA22 AA20 AA18 AA16 AA14 AA12 AA10">
      <formula1>$DA$24:$DA$26</formula1>
    </dataValidation>
    <dataValidation type="list" allowBlank="1" showInputMessage="1" showErrorMessage="1" sqref="M8 M22 M20 M18 M16 M14 M12 M10">
      <formula1>$CO$38:$CO$40</formula1>
    </dataValidation>
    <dataValidation type="list" allowBlank="1" showInputMessage="1" showErrorMessage="1" sqref="U18 U10 U8 U22 U20 U16 U12 U14">
      <formula1>$CM$8:$CM$54</formula1>
    </dataValidation>
    <dataValidation type="list" allowBlank="1" showInputMessage="1" showErrorMessage="1" sqref="AG8 AG10 AG12 AG14 AG16 AG18 AG20 AG22 AI8 AI10 AI12 AI14 AI16 AI18 AI20 AI22">
      <formula1>$DE$10:$DE$57</formula1>
    </dataValidation>
    <dataValidation type="list" allowBlank="1" showInputMessage="1" showErrorMessage="1" sqref="AC8 AC10 AC12 AC14 AC16 AC18 AC20 AC22">
      <formula1>$CH$8:$CH$11</formula1>
    </dataValidation>
  </dataValidations>
  <printOptions/>
  <pageMargins left="0.7480314960629921" right="0.7480314960629921" top="0.984251968503937" bottom="0.984251968503937" header="0.5118110236220472" footer="0.5118110236220472"/>
  <pageSetup fitToHeight="1" fitToWidth="1" horizontalDpi="180" verticalDpi="180" orientation="landscape" paperSize="9" scale="68" r:id="rId3"/>
  <headerFooter alignWithMargins="0">
    <oddHeader>&amp;CPlease contact me about any problems with this worksheet or suggestions for changes.</oddHeader>
    <oddFooter>&amp;Cstevensulivan55@hotmail.com</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sullivan</dc:creator>
  <cp:keywords/>
  <dc:description/>
  <cp:lastModifiedBy> </cp:lastModifiedBy>
  <cp:lastPrinted>2005-08-14T19:53:30Z</cp:lastPrinted>
  <dcterms:created xsi:type="dcterms:W3CDTF">2004-11-21T11:14:11Z</dcterms:created>
  <dcterms:modified xsi:type="dcterms:W3CDTF">2009-08-04T17:10:06Z</dcterms:modified>
  <cp:category/>
  <cp:version/>
  <cp:contentType/>
  <cp:contentStatus/>
</cp:coreProperties>
</file>